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aczm\Desktop\Platforma meblowa\Klienci końcowi\"/>
    </mc:Choice>
  </mc:AlternateContent>
  <xr:revisionPtr revIDLastSave="0" documentId="13_ncr:1_{E2022E00-4C85-4540-B7FE-9198BE9A94B9}" xr6:coauthVersionLast="47" xr6:coauthVersionMax="47" xr10:uidLastSave="{00000000-0000-0000-0000-000000000000}"/>
  <bookViews>
    <workbookView xWindow="-120" yWindow="-120" windowWidth="38640" windowHeight="21120" xr2:uid="{B6783611-36D7-4476-A394-C7D24115A185}"/>
  </bookViews>
  <sheets>
    <sheet name="KALKULATOR WYCENY USŁUG" sheetId="1" r:id="rId1"/>
    <sheet name="ANALIZA FINANSOWA" sheetId="9" r:id="rId2"/>
    <sheet name="1. Zabudowa - analiza" sheetId="10" r:id="rId3"/>
    <sheet name="2. Kuchnia - analiza" sheetId="11" r:id="rId4"/>
  </sheets>
  <definedNames>
    <definedName name="_xlnm.Print_Titles" localSheetId="2">'1. Zabudowa - analiza'!$2:$17</definedName>
    <definedName name="_xlnm.Print_Titles" localSheetId="3">'2. Kuchnia - analiza'!$2:$17</definedName>
    <definedName name="_xlnm.Print_Titles" localSheetId="1">'ANALIZA FINANSOWA'!$2:$35</definedName>
    <definedName name="_xlnm.Print_Titles" localSheetId="0">'KALKULATOR WYCENY USŁUG'!$2:$14</definedName>
  </definedNames>
  <calcPr calcId="181029"/>
</workbook>
</file>

<file path=xl/calcChain.xml><?xml version="1.0" encoding="utf-8"?>
<calcChain xmlns="http://schemas.openxmlformats.org/spreadsheetml/2006/main">
  <c r="I90" i="11" l="1"/>
  <c r="J90" i="11" s="1"/>
  <c r="F37" i="9"/>
  <c r="E37" i="9"/>
  <c r="D32" i="9"/>
  <c r="E32" i="9" s="1"/>
  <c r="E29" i="9"/>
  <c r="E30" i="9"/>
  <c r="E31" i="9"/>
  <c r="E28" i="9"/>
  <c r="I82" i="11"/>
  <c r="J82" i="11" s="1"/>
  <c r="G56" i="11"/>
  <c r="H56" i="11" s="1"/>
  <c r="G57" i="11"/>
  <c r="H57" i="11" s="1"/>
  <c r="G58" i="11"/>
  <c r="H58" i="11" s="1"/>
  <c r="G59" i="11"/>
  <c r="H59" i="11" s="1"/>
  <c r="G60" i="11"/>
  <c r="H60" i="11" s="1"/>
  <c r="G61" i="11"/>
  <c r="H61" i="11" s="1"/>
  <c r="G62" i="11"/>
  <c r="H62" i="11" s="1"/>
  <c r="G63" i="11"/>
  <c r="H63" i="11" s="1"/>
  <c r="G64" i="11"/>
  <c r="H64" i="11" s="1"/>
  <c r="G65" i="11"/>
  <c r="H65" i="11" s="1"/>
  <c r="G66" i="11"/>
  <c r="H66" i="11" s="1"/>
  <c r="G67" i="11"/>
  <c r="H67" i="11" s="1"/>
  <c r="G68" i="11"/>
  <c r="H68" i="11" s="1"/>
  <c r="G69" i="11"/>
  <c r="H69" i="11" s="1"/>
  <c r="G70" i="11"/>
  <c r="H70" i="11" s="1"/>
  <c r="G71" i="11"/>
  <c r="H71" i="11" s="1"/>
  <c r="G72" i="11"/>
  <c r="H72" i="11" s="1"/>
  <c r="G73" i="11"/>
  <c r="H73" i="11" s="1"/>
  <c r="G74" i="11"/>
  <c r="H74" i="11" s="1"/>
  <c r="G75" i="11"/>
  <c r="H75" i="11" s="1"/>
  <c r="G76" i="11"/>
  <c r="H76" i="11" s="1"/>
  <c r="G77" i="11"/>
  <c r="H77" i="11" s="1"/>
  <c r="F56" i="11"/>
  <c r="F57" i="11"/>
  <c r="F58" i="11"/>
  <c r="F59" i="11"/>
  <c r="F60" i="11"/>
  <c r="F61" i="11"/>
  <c r="F62" i="11"/>
  <c r="F63" i="11"/>
  <c r="F64" i="11"/>
  <c r="F65" i="11"/>
  <c r="F66" i="11"/>
  <c r="F67" i="11"/>
  <c r="F68" i="11"/>
  <c r="F69" i="11"/>
  <c r="F70" i="11"/>
  <c r="F71" i="11"/>
  <c r="F72" i="11"/>
  <c r="F73" i="11"/>
  <c r="F74" i="11"/>
  <c r="F75" i="11"/>
  <c r="F76" i="11"/>
  <c r="F77" i="11"/>
  <c r="D36" i="9" l="1"/>
  <c r="D38" i="9" l="1"/>
  <c r="D39" i="9" s="1"/>
  <c r="F36" i="9"/>
  <c r="D40" i="9" l="1"/>
  <c r="F38" i="9"/>
  <c r="G52" i="11" l="1"/>
  <c r="H52" i="11" s="1"/>
  <c r="F47" i="11"/>
  <c r="G47" i="11"/>
  <c r="H47" i="11" s="1"/>
  <c r="F52" i="11"/>
  <c r="F50" i="11"/>
  <c r="G50" i="11"/>
  <c r="H50" i="11" s="1"/>
  <c r="F46" i="11"/>
  <c r="G46" i="11"/>
  <c r="H46" i="11" s="1"/>
  <c r="F45" i="11"/>
  <c r="G45" i="11"/>
  <c r="H45" i="11" s="1"/>
  <c r="G41" i="11"/>
  <c r="H41" i="11" s="1"/>
  <c r="G42" i="11"/>
  <c r="H42" i="11" s="1"/>
  <c r="G43" i="11"/>
  <c r="H43" i="11" s="1"/>
  <c r="F41" i="11"/>
  <c r="F42" i="11"/>
  <c r="F43" i="11"/>
  <c r="I61" i="10"/>
  <c r="I69" i="10" s="1"/>
  <c r="G87" i="11"/>
  <c r="H87" i="11" s="1"/>
  <c r="F87" i="11"/>
  <c r="G86" i="11"/>
  <c r="H86" i="11" s="1"/>
  <c r="F86" i="11"/>
  <c r="G55" i="11"/>
  <c r="H55" i="11" s="1"/>
  <c r="F55" i="11"/>
  <c r="G53" i="11"/>
  <c r="H53" i="11" s="1"/>
  <c r="F53" i="11"/>
  <c r="G51" i="11"/>
  <c r="H51" i="11" s="1"/>
  <c r="F51" i="11"/>
  <c r="G49" i="11"/>
  <c r="H49" i="11" s="1"/>
  <c r="F49" i="11"/>
  <c r="G48" i="11"/>
  <c r="H48" i="11" s="1"/>
  <c r="F48" i="11"/>
  <c r="G44" i="11"/>
  <c r="H44" i="11" s="1"/>
  <c r="F44" i="11"/>
  <c r="G40" i="11"/>
  <c r="H40" i="11" s="1"/>
  <c r="F40" i="11"/>
  <c r="F33" i="11"/>
  <c r="E37" i="11" s="1"/>
  <c r="H27" i="11"/>
  <c r="I27" i="11" s="1"/>
  <c r="J27" i="11" s="1"/>
  <c r="H26" i="11"/>
  <c r="I26" i="11" s="1"/>
  <c r="J26" i="11" s="1"/>
  <c r="H25" i="11"/>
  <c r="I25" i="11" s="1"/>
  <c r="J25" i="11" s="1"/>
  <c r="H24" i="11"/>
  <c r="I24" i="11" s="1"/>
  <c r="J24" i="11" s="1"/>
  <c r="H23" i="11"/>
  <c r="I23" i="11" s="1"/>
  <c r="J23" i="11" s="1"/>
  <c r="H22" i="11"/>
  <c r="I22" i="11" s="1"/>
  <c r="J22" i="11" s="1"/>
  <c r="H21" i="11"/>
  <c r="I21" i="11" s="1"/>
  <c r="J21" i="11" s="1"/>
  <c r="H20" i="11"/>
  <c r="I20" i="11" s="1"/>
  <c r="J20" i="11" s="1"/>
  <c r="H19" i="11"/>
  <c r="I19" i="11" s="1"/>
  <c r="J19" i="11" s="1"/>
  <c r="H18" i="11"/>
  <c r="I18" i="11" s="1"/>
  <c r="J18" i="11" s="1"/>
  <c r="H17" i="11"/>
  <c r="I17" i="11" s="1"/>
  <c r="J17" i="11" s="1"/>
  <c r="F8" i="11"/>
  <c r="J28" i="9"/>
  <c r="I28" i="9"/>
  <c r="F19" i="9"/>
  <c r="E19" i="9"/>
  <c r="E12" i="9"/>
  <c r="E13" i="9"/>
  <c r="E10" i="9"/>
  <c r="J10" i="9"/>
  <c r="I10" i="9"/>
  <c r="G66" i="10"/>
  <c r="H66" i="10" s="1"/>
  <c r="G65" i="10"/>
  <c r="F66" i="10"/>
  <c r="F65" i="10"/>
  <c r="G48" i="10"/>
  <c r="H48" i="10" s="1"/>
  <c r="G49" i="10"/>
  <c r="H49" i="10" s="1"/>
  <c r="G50" i="10"/>
  <c r="H50" i="10" s="1"/>
  <c r="G51" i="10"/>
  <c r="H51" i="10" s="1"/>
  <c r="G52" i="10"/>
  <c r="H52" i="10" s="1"/>
  <c r="G53" i="10"/>
  <c r="H53" i="10" s="1"/>
  <c r="G54" i="10"/>
  <c r="H54" i="10" s="1"/>
  <c r="G55" i="10"/>
  <c r="H55" i="10" s="1"/>
  <c r="G56" i="10"/>
  <c r="H56" i="10" s="1"/>
  <c r="G47" i="10"/>
  <c r="I47" i="10" s="1"/>
  <c r="F48" i="10"/>
  <c r="F49" i="10"/>
  <c r="F50" i="10"/>
  <c r="F51" i="10"/>
  <c r="F52" i="10"/>
  <c r="F53" i="10"/>
  <c r="F54" i="10"/>
  <c r="F55" i="10"/>
  <c r="F56" i="10"/>
  <c r="F47" i="10"/>
  <c r="I55" i="11" l="1"/>
  <c r="D11" i="9"/>
  <c r="D14" i="9" s="1"/>
  <c r="I65" i="10"/>
  <c r="H47" i="10"/>
  <c r="J47" i="10" s="1"/>
  <c r="I86" i="11"/>
  <c r="H65" i="10"/>
  <c r="J65" i="10" s="1"/>
  <c r="J40" i="11"/>
  <c r="F14" i="11"/>
  <c r="J55" i="11"/>
  <c r="J86" i="11"/>
  <c r="I40" i="11"/>
  <c r="I33" i="11"/>
  <c r="E14" i="9" l="1"/>
  <c r="D18" i="9"/>
  <c r="F18" i="9"/>
  <c r="E22" i="9" s="1"/>
  <c r="E11" i="9"/>
  <c r="F37" i="11"/>
  <c r="J33" i="11"/>
  <c r="I14" i="11"/>
  <c r="H14" i="11"/>
  <c r="J14" i="11"/>
  <c r="G14" i="11"/>
  <c r="C37" i="11" s="1"/>
  <c r="G41" i="10"/>
  <c r="H41" i="10" s="1"/>
  <c r="G42" i="10"/>
  <c r="H42" i="10" s="1"/>
  <c r="G43" i="10"/>
  <c r="H43" i="10" s="1"/>
  <c r="G44" i="10"/>
  <c r="H44" i="10" s="1"/>
  <c r="G45" i="10"/>
  <c r="H45" i="10" s="1"/>
  <c r="G40" i="10"/>
  <c r="F41" i="10"/>
  <c r="F42" i="10"/>
  <c r="F43" i="10"/>
  <c r="F44" i="10"/>
  <c r="F45" i="10"/>
  <c r="F40" i="10"/>
  <c r="F33" i="10"/>
  <c r="E37" i="10" s="1"/>
  <c r="H27" i="10"/>
  <c r="I27" i="10" s="1"/>
  <c r="J27" i="10" s="1"/>
  <c r="H26" i="10"/>
  <c r="I26" i="10" s="1"/>
  <c r="J26" i="10" s="1"/>
  <c r="H25" i="10"/>
  <c r="I25" i="10" s="1"/>
  <c r="J25" i="10" s="1"/>
  <c r="H24" i="10"/>
  <c r="I24" i="10" s="1"/>
  <c r="J24" i="10" s="1"/>
  <c r="H23" i="10"/>
  <c r="I23" i="10" s="1"/>
  <c r="J23" i="10" s="1"/>
  <c r="H22" i="10"/>
  <c r="I22" i="10" s="1"/>
  <c r="J22" i="10" s="1"/>
  <c r="H21" i="10"/>
  <c r="I21" i="10" s="1"/>
  <c r="J21" i="10" s="1"/>
  <c r="H20" i="10"/>
  <c r="I20" i="10" s="1"/>
  <c r="J20" i="10" s="1"/>
  <c r="H19" i="10"/>
  <c r="I19" i="10" s="1"/>
  <c r="J19" i="10" s="1"/>
  <c r="H18" i="10"/>
  <c r="I18" i="10" s="1"/>
  <c r="J18" i="10" s="1"/>
  <c r="H17" i="10"/>
  <c r="I17" i="10" s="1"/>
  <c r="J17" i="10" s="1"/>
  <c r="F8" i="10"/>
  <c r="F30" i="1"/>
  <c r="I30" i="1" s="1"/>
  <c r="J30" i="1" s="1"/>
  <c r="F5" i="1"/>
  <c r="H14" i="1"/>
  <c r="I14" i="1" s="1"/>
  <c r="J14" i="1" s="1"/>
  <c r="H15" i="1"/>
  <c r="I15" i="1" s="1"/>
  <c r="J15" i="1" s="1"/>
  <c r="H16" i="1"/>
  <c r="I16" i="1" s="1"/>
  <c r="J16" i="1" s="1"/>
  <c r="H17" i="1"/>
  <c r="I17" i="1" s="1"/>
  <c r="J17" i="1" s="1"/>
  <c r="H18" i="1"/>
  <c r="I18" i="1" s="1"/>
  <c r="J18" i="1" s="1"/>
  <c r="H19" i="1"/>
  <c r="I19" i="1" s="1"/>
  <c r="J19" i="1" s="1"/>
  <c r="H20" i="1"/>
  <c r="I20" i="1" s="1"/>
  <c r="J20" i="1" s="1"/>
  <c r="H21" i="1"/>
  <c r="I21" i="1" s="1"/>
  <c r="J21" i="1" s="1"/>
  <c r="H22" i="1"/>
  <c r="I22" i="1" s="1"/>
  <c r="J22" i="1" s="1"/>
  <c r="H23" i="1"/>
  <c r="I23" i="1" s="1"/>
  <c r="J23" i="1" s="1"/>
  <c r="H24" i="1"/>
  <c r="I24" i="1" s="1"/>
  <c r="J24" i="1" s="1"/>
  <c r="G37" i="11" l="1"/>
  <c r="F20" i="9"/>
  <c r="D20" i="9"/>
  <c r="D21" i="9" s="1"/>
  <c r="H40" i="10"/>
  <c r="J40" i="10" s="1"/>
  <c r="I40" i="10"/>
  <c r="J61" i="10" s="1"/>
  <c r="D37" i="11"/>
  <c r="I37" i="11" s="1"/>
  <c r="F14" i="10"/>
  <c r="I33" i="10"/>
  <c r="E34" i="1"/>
  <c r="F34" i="1"/>
  <c r="F11" i="1"/>
  <c r="F37" i="10" l="1"/>
  <c r="J33" i="10"/>
  <c r="J14" i="10"/>
  <c r="I14" i="10"/>
  <c r="H14" i="10"/>
  <c r="D37" i="10" s="1"/>
  <c r="G14" i="10"/>
  <c r="G11" i="1"/>
  <c r="J11" i="1"/>
  <c r="I11" i="1"/>
  <c r="H11" i="1"/>
  <c r="I37" i="10" l="1"/>
  <c r="C37" i="10"/>
  <c r="G37" i="10" s="1"/>
  <c r="J69" i="10" s="1"/>
  <c r="D34" i="1"/>
  <c r="I34" i="1" s="1"/>
  <c r="C34" i="1"/>
  <c r="G34" i="1" s="1"/>
</calcChain>
</file>

<file path=xl/sharedStrings.xml><?xml version="1.0" encoding="utf-8"?>
<sst xmlns="http://schemas.openxmlformats.org/spreadsheetml/2006/main" count="437" uniqueCount="140">
  <si>
    <t>OD HEBLA DO MEBLA Paweł Kaczmarek 
email: kontakt@odhebladomebla.pl 
tel: 787 885 865</t>
  </si>
  <si>
    <t>Szacunkowa wycena materiałów</t>
  </si>
  <si>
    <t>Projekt wykonawczy</t>
  </si>
  <si>
    <t>Wizualizacja</t>
  </si>
  <si>
    <t>Rodzaj usługi projektowej</t>
  </si>
  <si>
    <t>Krótki opis usługi</t>
  </si>
  <si>
    <t>Usługa obejmuje wykonanie projektu technicznego zawierającego wszystkie niezbędne rysunki i rzuty 3D wraz z opisami modułów umożliwiającego montaż zabudowy przez specjalistę lub we własnym zakresie oraz spis elementów, który pozwoli na samodzielne zamówienie materiałów za pośrednictwem platformy OD HEBLA DO MEBLA lub we własnym zakresie.</t>
  </si>
  <si>
    <t>Usługa obejmuje wykonanie profesjonalnej wizualizacji mebla bądź zabudowy w oparciu o projekt lub szkic. Wizualizacja skupiona jest tylko na meblach i nie obejmuje innych elementów wyposażenia wnętrz. Celem usługi jest prezentacja zabudowy lub mebla w wysokiej jakości graficznej z wykorzystaniem renderowania obrazów. Usługa nie obejmuje elementów projektu wykonawczego.</t>
  </si>
  <si>
    <t>Koszt usług dla m^3</t>
  </si>
  <si>
    <t>TAK</t>
  </si>
  <si>
    <t>NIE</t>
  </si>
  <si>
    <t>Wycena usług</t>
  </si>
  <si>
    <t xml:space="preserve">Usługa obejmuje wskazanie szacunkowej ceny materiałów i akcesoriów meblowych możliwych do zakupu za pośrednictwem platformy OD HEBLA DO MEBLA w oparciu o projekt lub szkic. </t>
  </si>
  <si>
    <t>Wycena poszczególnej usługi zależy między innymi od wskazanej objętości zabudowy bądź mebla. Dla bardziej skomplikowanych projektów, finalna wycena mnożona jest przez iloczyn trudności, który jest ustalany przez projektanta. Zabudowy kuchenne objęte są współczynnikiem w zakresie od 1,5 do 2,0, zaś pozostałe meble i zabudowy od 1,0 do 1,5.</t>
  </si>
  <si>
    <t>OPIS WŁASNY</t>
  </si>
  <si>
    <t>Przy wyborze pojedynczej usługi</t>
  </si>
  <si>
    <t>Przy wyborze co najmniej dwóch usług</t>
  </si>
  <si>
    <t>Netto [zł]</t>
  </si>
  <si>
    <t>Brutto [zł]</t>
  </si>
  <si>
    <t>WYSOKOŚĆ 
[CM]</t>
  </si>
  <si>
    <t>WSPÓŁCZYNNIK 
[1.0 - 2.0]</t>
  </si>
  <si>
    <t>ILOŚĆ 
[SZT]</t>
  </si>
  <si>
    <t>SZEROKOŚĆ 
[CM]</t>
  </si>
  <si>
    <t>GŁĘBOKOŚĆ 
[CM]</t>
  </si>
  <si>
    <t>OBJĘTOŚĆ 
[CM^3]</t>
  </si>
  <si>
    <t>OBJĘTOŚĆ 
[M^3]</t>
  </si>
  <si>
    <t>OPIS MEBLA 1</t>
  </si>
  <si>
    <t>OPIS MEBLA 2…</t>
  </si>
  <si>
    <t>ZAZNACZ 
JEŚLI 
WYCENIĆ</t>
  </si>
  <si>
    <t xml:space="preserve">WYNIK </t>
  </si>
  <si>
    <t>Pomiar</t>
  </si>
  <si>
    <t>Dojazd</t>
  </si>
  <si>
    <t>Droga z siedziby do miejsca pomiaru [km]</t>
  </si>
  <si>
    <t>Współczynnik</t>
  </si>
  <si>
    <t>Suma kosztów pomiaru z dojazdem</t>
  </si>
  <si>
    <t>Usługi dodatkowe</t>
  </si>
  <si>
    <t>Ustawowa stawka za kilometr przemnożona x 2 uwzględniająca przyjazd i powrót (aktualna siedziba tylko w Poznaniu)</t>
  </si>
  <si>
    <t>Usługi projektowe</t>
  </si>
  <si>
    <t>Suma kosztów wybranych usług</t>
  </si>
  <si>
    <t>Podsumowanie kosztów wybranych usług</t>
  </si>
  <si>
    <t>Jednostkowy koszt 
pomiaru netto [zł]</t>
  </si>
  <si>
    <t>Usługa wykonywana przez specjalistę polegająca na precyzyjnym pomiarze miejsca dedykowanego pod konkretną zabudowę lub mebel. Pomiar jest w szczególności zalecany:
- dla trwałych zabudów zaprojektowanych pod sufit,
- dla trwałych zabudów ograniczonych ścianą z każdej strony (oczywiście z wyjątkiej użytkowej),
- dla pomieszczeń nietypowych (skosy/łuki/inne),
- dla pomieszczeń z dużą krzywizną ścian i/lub podłóg.</t>
  </si>
  <si>
    <r>
      <t xml:space="preserve">Usługa dojazdu jest nieodłącznym elementem kosztów wykonania pomiarów. Koszt dojazdu jest jednorazowy liczony jako iloczyn:
</t>
    </r>
    <r>
      <rPr>
        <i/>
        <sz val="9"/>
        <rFont val="Calibri"/>
        <family val="2"/>
        <charset val="238"/>
        <scheme val="minor"/>
      </rPr>
      <t>Droga z siedziby do miejsca docelowego 
X</t>
    </r>
    <r>
      <rPr>
        <sz val="9"/>
        <rFont val="Calibri"/>
        <family val="2"/>
        <charset val="238"/>
        <scheme val="minor"/>
      </rPr>
      <t xml:space="preserve">
Ustawowa stawka za kilometr przemnożona podwójnie (przyjazd i powrót)</t>
    </r>
  </si>
  <si>
    <t>1. Realizacja zabudowy w pokoju dziennym dedykowana doprzechowywania ubrań oraz innych rzeczy użytku domowego</t>
  </si>
  <si>
    <t>Poniższy analiza ma na celu przedstawić Państwu oszczędności z inwesticji w usługi platformy meblowej na podstawie wybranego projektu. Analiza zawiera:
- całkowity koszt usług platformy niezbędny do realizacji wybranego zamówienia,
- całkowity koszt materiałów i akcesoriów zakupionych za pośrednictwem platformy z uwzględnieniem transportu,
- sugerowaną cenę montażu zabudowy przez fachowca,
- szacowaną wycenę kompleksowej usługi od stolarza przygotowaną na podstawie analiz rynkowych,
- podsumowanie finansowe porównujące ze sobą oba warianty.</t>
  </si>
  <si>
    <t>A. Całkowity koszt usług platformy niezbędny do realizacji wybranego zamówienia przygotowany na podstawie kalkulatora wyceny usług.</t>
  </si>
  <si>
    <t>Szafa do salonu</t>
  </si>
  <si>
    <t>Całkowity koszt usług platformy</t>
  </si>
  <si>
    <t>Całkowity koszt materiałów i akcesoriów</t>
  </si>
  <si>
    <t xml:space="preserve">Koszt </t>
  </si>
  <si>
    <t>Koszt transportu</t>
  </si>
  <si>
    <t>Sugerowana cena montażu przez fachowca</t>
  </si>
  <si>
    <t>Lista pozycji</t>
  </si>
  <si>
    <t>Przykładowa wycena OD HEBLA DO MEBLA</t>
  </si>
  <si>
    <t>Przykładowa wycena stolarza</t>
  </si>
  <si>
    <t>Brutto 
8% vat [zł]</t>
  </si>
  <si>
    <t>Brutto 
23% [zł]</t>
  </si>
  <si>
    <t>Suma poszczególnych wycen</t>
  </si>
  <si>
    <t>Wycena kompleksowa</t>
  </si>
  <si>
    <t>Wycena trwałej zabudowy w pokoju dziennym:  
1. Projekt 
2. Pomiar
3. Materiał
4. Transport
5. Montaż</t>
  </si>
  <si>
    <t>Porównanie</t>
  </si>
  <si>
    <t>Różnica</t>
  </si>
  <si>
    <t>Komentarz</t>
  </si>
  <si>
    <t>1. Realizacja zabudowy w pokoju dziennym dedykowana do przechowywania ubrań oraz innych rzeczy użytku domowego</t>
  </si>
  <si>
    <t>2. Realizacja zabudowy kuchennej z wyspą w domu jednorodzinnym</t>
  </si>
  <si>
    <t>Lista kontrahentów</t>
  </si>
  <si>
    <t>Płyta HDF 110</t>
  </si>
  <si>
    <t>Cięcie</t>
  </si>
  <si>
    <t>Oklejanie</t>
  </si>
  <si>
    <t>Ilość</t>
  </si>
  <si>
    <t>Okleina 1x23 mm</t>
  </si>
  <si>
    <t>Jednostka</t>
  </si>
  <si>
    <t>[m]</t>
  </si>
  <si>
    <t>[szt]</t>
  </si>
  <si>
    <t>Cena netto</t>
  </si>
  <si>
    <t>Lista materiałów</t>
  </si>
  <si>
    <t>Lista akcesoriów</t>
  </si>
  <si>
    <t>Płyta 536 RW (korpus)</t>
  </si>
  <si>
    <t>Płyta K530 HU (front)</t>
  </si>
  <si>
    <t>Cena brutto</t>
  </si>
  <si>
    <t>Suma netto</t>
  </si>
  <si>
    <t>Suma brutto</t>
  </si>
  <si>
    <t>Nóżki regulowane</t>
  </si>
  <si>
    <t>Klips do cokołu</t>
  </si>
  <si>
    <t>Drążek chromowany 3 [m]</t>
  </si>
  <si>
    <t>Rozeta do drążka</t>
  </si>
  <si>
    <t>Tip-on krótki, Blum</t>
  </si>
  <si>
    <t>Prowadnik z regulacją, Blum</t>
  </si>
  <si>
    <t xml:space="preserve">Zawias bez hamulca, Blum </t>
  </si>
  <si>
    <t>Podpórki do półek (50szt)</t>
  </si>
  <si>
    <t>Zaślepka (listek)</t>
  </si>
  <si>
    <t>Szuflada Strongmax 121/500</t>
  </si>
  <si>
    <t>Robocizna</t>
  </si>
  <si>
    <t>Transport</t>
  </si>
  <si>
    <t>B. Całkowity koszt materiałów i akcesoriów zakupionych za pośrednictwem platformy z uwzględnieniem transportu,</t>
  </si>
  <si>
    <t>C. Szacowane koszty transportu towaru oraz montażu</t>
  </si>
  <si>
    <t>Nie dotyczy</t>
  </si>
  <si>
    <t>Oszczędność w ujęciu %</t>
  </si>
  <si>
    <t>Oszczędność w ujęciu % uwzględniając wycenę 8% vat od stolarza</t>
  </si>
  <si>
    <t>Szanowni użytkownicy,
Poniższa analiza ma na celu przedstawić Państwu oszczędności z inwesticji w usługi platformy meblowej. Podsumowanie przedstawia porównanie wycen dwóch kontrahentów dla wybranych projektów. Szczegóły poszczególnych projektów wraz z opisem kosztów kazdej pozycji wycen platformy OD HEBLA DO MEBLA znajdują się w osobnych zakładkach.</t>
  </si>
  <si>
    <t>Ściana z szafkami wiszącymi</t>
  </si>
  <si>
    <t>Ściana bez szafek wiszących</t>
  </si>
  <si>
    <t>Wyspa</t>
  </si>
  <si>
    <t>Wysokość prowizji</t>
  </si>
  <si>
    <t>B. Całkowity koszt materiałów i akcesoriów zakupionych za pośrednictwem platformy z uwzględnieniem transportu.</t>
  </si>
  <si>
    <t>Prowizja za obsługę zamówienia i gwarancję.</t>
  </si>
  <si>
    <t>Podsumowanie kosztów za materiał i akcesoria uwzględniające koszt obsługi zamówienia materiału oraz gwarancję.</t>
  </si>
  <si>
    <t>Szanowni użytkownicy,
Poniższy kalkulator został stworzony, aby pomóc Wam podjąć decyzję o inwestycji w usługi platformy meblowej. Zasada kalkulatora jest bardzo prosta:
1. Należy wybrać opcję "TAK" lub "NIE" dla usługi, która Was interesuje,
2. Należy uzupełnić puste pola zaznaczone kolorem żółtym. Bardziej skomplikowany mebel należy rozpisać w kilku wierszach tak, aby jego objętość była zgodna z realiami (np. szafę narożną).
3. W zakładce "ANALIZA FINANSOWA" zostały przygotowane szczegółowe wyliczenia kosztów dla realizacji konkretnych projektów porównujące kompleksową wycenę stolarza, a usługi oferowane przez platformę OD HEBLA DO MEBLA.</t>
  </si>
  <si>
    <t>Podsumowane kosztów realizacji projektu przy współpracy z platformą meblową.</t>
  </si>
  <si>
    <t>Płyta Egger H3730 (front)</t>
  </si>
  <si>
    <t>Płyta Kronospan K086PW (korpus)</t>
  </si>
  <si>
    <t>Płyta Kronospan K0110 SM (korpus)</t>
  </si>
  <si>
    <t>Frontpol Śnieżnobiały 1982M (front)</t>
  </si>
  <si>
    <t>[m2]</t>
  </si>
  <si>
    <t>Płyta Kronospan 8685SM (16mm do szuflad)</t>
  </si>
  <si>
    <t>Blat 38 mm Egger H3730 4100 x 600</t>
  </si>
  <si>
    <t>Blat 38 mm Egger H3730 4100 x 920</t>
  </si>
  <si>
    <t>Oklejanie 1mm</t>
  </si>
  <si>
    <t>Obróbka blatów w literę L (zacinka)</t>
  </si>
  <si>
    <t>Oklejanie 2mm (blaty)</t>
  </si>
  <si>
    <t>Okleina 2x42 mm (blaty)</t>
  </si>
  <si>
    <t xml:space="preserve">Zawias z dociągiem, Blum </t>
  </si>
  <si>
    <t>Uchwyt</t>
  </si>
  <si>
    <t>Serwo-drive Uno, Blum</t>
  </si>
  <si>
    <t>Szuflada Tbox Antaro, M, Blum, biała 500 (komplet)</t>
  </si>
  <si>
    <t>Szuflada Tbox Antaro, C, Blum, biała 500 (komplet)</t>
  </si>
  <si>
    <t>CARGO MAXI INOX 300 wys 1490-1840 4 poziomy</t>
  </si>
  <si>
    <t>Zawieszki do szafek wiszących (komplet)</t>
  </si>
  <si>
    <t>Profil LED wpuszczany srebrny [2m]</t>
  </si>
  <si>
    <t>Taśma LED barwa neutralna [5m]</t>
  </si>
  <si>
    <t>Szyny DIN do wieszania szafek wiszących [2m]</t>
  </si>
  <si>
    <t>Podnośnik Aventos HK z dociągiem (komplet)</t>
  </si>
  <si>
    <t>Zasilacz LED 54W</t>
  </si>
  <si>
    <t>Przwody do LED [1m]</t>
  </si>
  <si>
    <t>Zawias równoległy z dociągiem, Blum</t>
  </si>
  <si>
    <t>Włącznik zbliżeniowy do LED</t>
  </si>
  <si>
    <t>Kątowniki białe, paczka (50szt)</t>
  </si>
  <si>
    <t>Silikon przezroczysty [tuba]</t>
  </si>
  <si>
    <t>Klej typu mamut [tuba]</t>
  </si>
  <si>
    <t xml:space="preserve">Współpraca z projektantem platformy meblowej wskazuje realną oszczędność inwestycji w zakresie 20-30% porównując do kompleksowej wyceny zabudowy przez stolarza. Korzystając z platformy otrzymują Państwo gwarancję zakupu towaru zgodnego z wcześniejszymi ustaleniami.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</si>
</sst>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quot;zł&quot;"/>
    <numFmt numFmtId="165" formatCode="0.0%"/>
  </numFmts>
  <fonts count="37"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8"/>
      <name val="Calibri"/>
      <family val="2"/>
      <charset val="238"/>
      <scheme val="minor"/>
    </font>
    <font>
      <sz val="9"/>
      <color theme="1"/>
      <name val="Calibri"/>
      <family val="2"/>
      <charset val="238"/>
      <scheme val="minor"/>
    </font>
    <font>
      <sz val="7"/>
      <color theme="1"/>
      <name val="Calibri"/>
      <family val="2"/>
      <charset val="238"/>
      <scheme val="minor"/>
    </font>
    <font>
      <b/>
      <sz val="9"/>
      <color theme="0"/>
      <name val="Calibri"/>
      <family val="2"/>
      <charset val="238"/>
      <scheme val="minor"/>
    </font>
    <font>
      <b/>
      <sz val="12"/>
      <color theme="0"/>
      <name val="Calibri"/>
      <family val="2"/>
      <charset val="238"/>
      <scheme val="minor"/>
    </font>
    <font>
      <sz val="11"/>
      <name val="Calibri"/>
      <family val="2"/>
      <charset val="238"/>
      <scheme val="minor"/>
    </font>
    <font>
      <sz val="7"/>
      <name val="Calibri"/>
      <family val="2"/>
      <charset val="238"/>
      <scheme val="minor"/>
    </font>
    <font>
      <b/>
      <sz val="10"/>
      <color theme="0"/>
      <name val="Calibri"/>
      <family val="2"/>
      <charset val="238"/>
      <scheme val="minor"/>
    </font>
    <font>
      <i/>
      <sz val="7"/>
      <name val="Calibri Light"/>
      <family val="2"/>
      <charset val="238"/>
      <scheme val="major"/>
    </font>
    <font>
      <b/>
      <sz val="16"/>
      <name val="Calibri"/>
      <family val="2"/>
      <charset val="238"/>
      <scheme val="minor"/>
    </font>
    <font>
      <b/>
      <sz val="11"/>
      <name val="Calibri"/>
      <family val="2"/>
      <charset val="238"/>
      <scheme val="minor"/>
    </font>
    <font>
      <b/>
      <sz val="14"/>
      <color theme="0"/>
      <name val="Calibri"/>
      <family val="2"/>
      <charset val="238"/>
      <scheme val="minor"/>
    </font>
    <font>
      <sz val="10"/>
      <name val="Calibri"/>
      <family val="2"/>
      <charset val="238"/>
      <scheme val="minor"/>
    </font>
    <font>
      <sz val="9"/>
      <name val="Calibri"/>
      <family val="2"/>
      <charset val="238"/>
      <scheme val="minor"/>
    </font>
    <font>
      <i/>
      <sz val="9"/>
      <name val="Calibri"/>
      <family val="2"/>
      <charset val="238"/>
      <scheme val="minor"/>
    </font>
    <font>
      <b/>
      <sz val="10"/>
      <name val="Calibri"/>
      <family val="2"/>
      <charset val="238"/>
      <scheme val="minor"/>
    </font>
    <font>
      <b/>
      <sz val="8"/>
      <color theme="0"/>
      <name val="Calibri"/>
      <family val="2"/>
      <charset val="238"/>
      <scheme val="minor"/>
    </font>
    <font>
      <b/>
      <sz val="16"/>
      <color theme="0"/>
      <name val="Calibri"/>
      <family val="2"/>
      <charset val="238"/>
      <scheme val="minor"/>
    </font>
    <font>
      <sz val="10"/>
      <color theme="1"/>
      <name val="Calibri"/>
      <family val="2"/>
      <charset val="23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09394"/>
        <bgColor indexed="64"/>
      </patternFill>
    </fill>
    <fill>
      <patternFill patternType="solid">
        <fgColor rgb="FFADDADB"/>
        <bgColor indexed="64"/>
      </patternFill>
    </fill>
    <fill>
      <patternFill patternType="solid">
        <fgColor rgb="FFD4EBEC"/>
        <bgColor indexed="64"/>
      </patternFill>
    </fill>
    <fill>
      <patternFill patternType="solid">
        <fgColor rgb="FFB1DCDD"/>
        <bgColor indexed="64"/>
      </patternFill>
    </fill>
    <fill>
      <patternFill patternType="solid">
        <fgColor rgb="FF87C9CB"/>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12">
    <xf numFmtId="0" fontId="0" fillId="0" borderId="0" xfId="0"/>
    <xf numFmtId="0" fontId="0" fillId="0" borderId="0" xfId="0" applyAlignment="1">
      <alignment wrapText="1"/>
    </xf>
    <xf numFmtId="0" fontId="0" fillId="0" borderId="0" xfId="0" applyAlignment="1">
      <alignment horizontal="center" vertical="center"/>
    </xf>
    <xf numFmtId="0" fontId="20" fillId="0" borderId="0" xfId="0" applyFont="1" applyAlignment="1">
      <alignment vertical="center" wrapText="1"/>
    </xf>
    <xf numFmtId="0" fontId="19" fillId="0" borderId="0" xfId="0" applyFont="1" applyAlignment="1">
      <alignment horizontal="center" wrapText="1"/>
    </xf>
    <xf numFmtId="0" fontId="19" fillId="0" borderId="0" xfId="0" applyFont="1" applyAlignment="1">
      <alignment horizontal="center" vertical="center" wrapText="1"/>
    </xf>
    <xf numFmtId="2" fontId="0" fillId="0" borderId="0" xfId="0" applyNumberFormat="1"/>
    <xf numFmtId="2" fontId="20" fillId="0" borderId="0" xfId="0" applyNumberFormat="1" applyFont="1" applyAlignment="1">
      <alignment vertical="center" wrapText="1"/>
    </xf>
    <xf numFmtId="0" fontId="21" fillId="33" borderId="10" xfId="0" applyFont="1" applyFill="1" applyBorder="1" applyAlignment="1">
      <alignment horizontal="center" vertical="center" wrapText="1"/>
    </xf>
    <xf numFmtId="0" fontId="23" fillId="34" borderId="10" xfId="0" applyFont="1" applyFill="1" applyBorder="1" applyAlignment="1">
      <alignment horizontal="center" vertical="center"/>
    </xf>
    <xf numFmtId="164" fontId="16" fillId="35" borderId="10" xfId="0" applyNumberFormat="1" applyFont="1" applyFill="1" applyBorder="1" applyAlignment="1">
      <alignment horizontal="center" vertical="center" wrapText="1"/>
    </xf>
    <xf numFmtId="164" fontId="16" fillId="35" borderId="10" xfId="0" applyNumberFormat="1" applyFont="1" applyFill="1" applyBorder="1" applyAlignment="1">
      <alignment horizontal="center" vertical="center"/>
    </xf>
    <xf numFmtId="0" fontId="27" fillId="34" borderId="10" xfId="0" applyFont="1" applyFill="1" applyBorder="1" applyAlignment="1">
      <alignment horizontal="center" vertical="center"/>
    </xf>
    <xf numFmtId="164" fontId="0" fillId="35" borderId="10" xfId="0" applyNumberFormat="1" applyFill="1" applyBorder="1" applyAlignment="1">
      <alignment horizontal="center" vertical="center" wrapText="1"/>
    </xf>
    <xf numFmtId="164" fontId="0" fillId="35" borderId="10" xfId="0" applyNumberFormat="1" applyFill="1" applyBorder="1" applyAlignment="1">
      <alignment horizontal="center" vertical="center"/>
    </xf>
    <xf numFmtId="164" fontId="0" fillId="35" borderId="13" xfId="0" applyNumberFormat="1" applyFill="1" applyBorder="1" applyAlignment="1">
      <alignment horizontal="center" vertical="center" wrapText="1"/>
    </xf>
    <xf numFmtId="164" fontId="0" fillId="35" borderId="13" xfId="0" applyNumberFormat="1" applyFill="1" applyBorder="1" applyAlignment="1">
      <alignment horizontal="center" vertical="center"/>
    </xf>
    <xf numFmtId="0" fontId="23" fillId="33" borderId="14" xfId="0" applyFont="1" applyFill="1" applyBorder="1" applyAlignment="1">
      <alignment horizontal="center" vertical="center"/>
    </xf>
    <xf numFmtId="0" fontId="25" fillId="33" borderId="10" xfId="0" applyFont="1" applyFill="1" applyBorder="1" applyAlignment="1">
      <alignment horizontal="center" vertical="center" wrapText="1"/>
    </xf>
    <xf numFmtId="0" fontId="0" fillId="33" borderId="0" xfId="0" applyFill="1"/>
    <xf numFmtId="0" fontId="24" fillId="33" borderId="14" xfId="0" applyFont="1" applyFill="1" applyBorder="1" applyAlignment="1">
      <alignment horizontal="center" vertical="center" wrapText="1"/>
    </xf>
    <xf numFmtId="164" fontId="16" fillId="33" borderId="14" xfId="0" applyNumberFormat="1" applyFont="1" applyFill="1" applyBorder="1" applyAlignment="1">
      <alignment horizontal="center" vertical="center"/>
    </xf>
    <xf numFmtId="164" fontId="16" fillId="33" borderId="12" xfId="0" applyNumberFormat="1" applyFont="1" applyFill="1" applyBorder="1" applyAlignment="1">
      <alignment horizontal="center" vertical="center"/>
    </xf>
    <xf numFmtId="0" fontId="13" fillId="33" borderId="10" xfId="0" applyFont="1" applyFill="1" applyBorder="1" applyAlignment="1">
      <alignment horizontal="center" vertical="center"/>
    </xf>
    <xf numFmtId="0" fontId="13" fillId="33" borderId="10" xfId="0" applyFont="1" applyFill="1" applyBorder="1" applyAlignment="1">
      <alignment horizontal="center" vertical="center" wrapText="1"/>
    </xf>
    <xf numFmtId="164" fontId="13" fillId="33" borderId="10" xfId="0" applyNumberFormat="1" applyFont="1" applyFill="1" applyBorder="1" applyAlignment="1">
      <alignment horizontal="center" vertical="center"/>
    </xf>
    <xf numFmtId="0" fontId="23" fillId="33" borderId="19" xfId="0" applyFont="1" applyFill="1" applyBorder="1" applyAlignment="1">
      <alignment horizontal="center" vertical="center"/>
    </xf>
    <xf numFmtId="0" fontId="24" fillId="33" borderId="20" xfId="0" applyFont="1" applyFill="1" applyBorder="1" applyAlignment="1">
      <alignment horizontal="center" vertical="center" wrapText="1"/>
    </xf>
    <xf numFmtId="2" fontId="28" fillId="33" borderId="14" xfId="0" applyNumberFormat="1" applyFont="1" applyFill="1" applyBorder="1" applyAlignment="1">
      <alignment horizontal="center" vertical="center" wrapText="1"/>
    </xf>
    <xf numFmtId="164" fontId="16" fillId="33" borderId="14" xfId="0" applyNumberFormat="1" applyFont="1" applyFill="1" applyBorder="1" applyAlignment="1">
      <alignment horizontal="center" vertical="center" wrapText="1"/>
    </xf>
    <xf numFmtId="164" fontId="23" fillId="34" borderId="10" xfId="0" applyNumberFormat="1" applyFont="1" applyFill="1" applyBorder="1" applyAlignment="1">
      <alignment horizontal="center" vertical="center"/>
    </xf>
    <xf numFmtId="164" fontId="23" fillId="34" borderId="10" xfId="0" applyNumberFormat="1" applyFont="1" applyFill="1" applyBorder="1" applyAlignment="1">
      <alignment horizontal="center" vertical="center" wrapText="1"/>
    </xf>
    <xf numFmtId="2" fontId="23" fillId="34" borderId="10" xfId="0" applyNumberFormat="1" applyFont="1" applyFill="1" applyBorder="1" applyAlignment="1">
      <alignment horizontal="center" vertical="center" wrapText="1"/>
    </xf>
    <xf numFmtId="0" fontId="0" fillId="0" borderId="13" xfId="0" applyBorder="1"/>
    <xf numFmtId="0" fontId="0" fillId="0" borderId="15" xfId="0" applyBorder="1"/>
    <xf numFmtId="0" fontId="0" fillId="0" borderId="15" xfId="0" applyBorder="1" applyAlignment="1">
      <alignment horizontal="left"/>
    </xf>
    <xf numFmtId="0" fontId="0" fillId="0" borderId="16" xfId="0" applyBorder="1"/>
    <xf numFmtId="0" fontId="0" fillId="0" borderId="23" xfId="0" applyBorder="1"/>
    <xf numFmtId="0" fontId="0" fillId="0" borderId="22" xfId="0" applyBorder="1"/>
    <xf numFmtId="0" fontId="0" fillId="0" borderId="24"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2" fontId="23" fillId="34" borderId="11" xfId="0" applyNumberFormat="1" applyFont="1" applyFill="1" applyBorder="1" applyAlignment="1">
      <alignment horizontal="center" vertical="center"/>
    </xf>
    <xf numFmtId="164" fontId="0" fillId="35" borderId="0" xfId="0" applyNumberFormat="1" applyFill="1"/>
    <xf numFmtId="0" fontId="0" fillId="36" borderId="0" xfId="0" applyFill="1"/>
    <xf numFmtId="164" fontId="23" fillId="36" borderId="10" xfId="0" applyNumberFormat="1" applyFont="1" applyFill="1" applyBorder="1" applyAlignment="1">
      <alignment horizontal="center" vertical="center"/>
    </xf>
    <xf numFmtId="164" fontId="23" fillId="36" borderId="10" xfId="0" applyNumberFormat="1" applyFont="1" applyFill="1" applyBorder="1" applyAlignment="1">
      <alignment horizontal="center" vertical="center" wrapText="1"/>
    </xf>
    <xf numFmtId="164" fontId="23" fillId="37" borderId="10" xfId="0" applyNumberFormat="1" applyFont="1" applyFill="1" applyBorder="1" applyAlignment="1">
      <alignment horizontal="center" vertical="center" wrapText="1"/>
    </xf>
    <xf numFmtId="164" fontId="30" fillId="36" borderId="10" xfId="0" applyNumberFormat="1" applyFont="1" applyFill="1" applyBorder="1" applyAlignment="1">
      <alignment horizontal="center" vertical="center" wrapText="1"/>
    </xf>
    <xf numFmtId="164" fontId="30" fillId="37" borderId="10" xfId="0" applyNumberFormat="1" applyFont="1" applyFill="1" applyBorder="1" applyAlignment="1">
      <alignment horizontal="center" vertical="center" wrapText="1"/>
    </xf>
    <xf numFmtId="164" fontId="33" fillId="37" borderId="10" xfId="0" applyNumberFormat="1" applyFont="1" applyFill="1" applyBorder="1" applyAlignment="1">
      <alignment horizontal="center" vertical="center" wrapText="1"/>
    </xf>
    <xf numFmtId="164" fontId="23" fillId="37" borderId="10" xfId="0" applyNumberFormat="1" applyFont="1" applyFill="1" applyBorder="1" applyAlignment="1">
      <alignment horizontal="center" vertical="center"/>
    </xf>
    <xf numFmtId="165" fontId="33" fillId="37" borderId="14" xfId="0" applyNumberFormat="1" applyFont="1" applyFill="1" applyBorder="1" applyAlignment="1">
      <alignment horizontal="center" vertical="center" wrapText="1"/>
    </xf>
    <xf numFmtId="0" fontId="13" fillId="33" borderId="12" xfId="0" applyFont="1" applyFill="1" applyBorder="1" applyAlignment="1">
      <alignment horizontal="center" vertical="center"/>
    </xf>
    <xf numFmtId="2" fontId="0" fillId="0" borderId="0" xfId="0" applyNumberFormat="1" applyAlignment="1">
      <alignment vertical="center" wrapText="1"/>
    </xf>
    <xf numFmtId="0" fontId="0" fillId="0" borderId="0" xfId="0" applyAlignment="1">
      <alignment vertical="center" wrapText="1"/>
    </xf>
    <xf numFmtId="0" fontId="17" fillId="33" borderId="10" xfId="0" applyFont="1" applyFill="1" applyBorder="1"/>
    <xf numFmtId="0" fontId="0" fillId="36" borderId="23" xfId="0" applyFill="1" applyBorder="1"/>
    <xf numFmtId="0" fontId="0" fillId="36" borderId="22" xfId="0" applyFill="1" applyBorder="1"/>
    <xf numFmtId="164" fontId="0" fillId="35" borderId="22" xfId="0" applyNumberFormat="1" applyFill="1" applyBorder="1"/>
    <xf numFmtId="0" fontId="0" fillId="36" borderId="19" xfId="0" applyFill="1" applyBorder="1"/>
    <xf numFmtId="0" fontId="0" fillId="36" borderId="20" xfId="0" applyFill="1" applyBorder="1"/>
    <xf numFmtId="164" fontId="0" fillId="35" borderId="20" xfId="0" applyNumberFormat="1" applyFill="1" applyBorder="1"/>
    <xf numFmtId="0" fontId="0" fillId="36" borderId="17" xfId="0" applyFill="1" applyBorder="1"/>
    <xf numFmtId="164" fontId="16" fillId="35" borderId="10" xfId="0" applyNumberFormat="1" applyFont="1" applyFill="1" applyBorder="1"/>
    <xf numFmtId="165" fontId="33" fillId="37" borderId="11" xfId="0" applyNumberFormat="1" applyFont="1" applyFill="1" applyBorder="1" applyAlignment="1">
      <alignment horizontal="center" vertical="center" wrapText="1"/>
    </xf>
    <xf numFmtId="0" fontId="33" fillId="37" borderId="12" xfId="0" applyFont="1" applyFill="1" applyBorder="1" applyAlignment="1">
      <alignment horizontal="center" vertical="center" wrapText="1"/>
    </xf>
    <xf numFmtId="0" fontId="0" fillId="0" borderId="10" xfId="0" applyBorder="1"/>
    <xf numFmtId="2" fontId="0" fillId="0" borderId="10" xfId="0" applyNumberFormat="1" applyBorder="1"/>
    <xf numFmtId="0" fontId="0" fillId="36" borderId="24" xfId="0" applyFill="1" applyBorder="1"/>
    <xf numFmtId="0" fontId="0" fillId="36" borderId="18" xfId="0" applyFill="1" applyBorder="1"/>
    <xf numFmtId="0" fontId="0" fillId="36" borderId="21" xfId="0" applyFill="1" applyBorder="1"/>
    <xf numFmtId="0" fontId="0" fillId="35" borderId="15" xfId="0" applyFill="1" applyBorder="1"/>
    <xf numFmtId="2" fontId="0" fillId="35" borderId="0" xfId="0" applyNumberFormat="1" applyFill="1"/>
    <xf numFmtId="0" fontId="0" fillId="35" borderId="0" xfId="0" applyFill="1"/>
    <xf numFmtId="0" fontId="0" fillId="35" borderId="17" xfId="0" applyFill="1" applyBorder="1"/>
    <xf numFmtId="0" fontId="0" fillId="35" borderId="18" xfId="0" applyFill="1" applyBorder="1"/>
    <xf numFmtId="0" fontId="34" fillId="33" borderId="14" xfId="0" applyFont="1" applyFill="1" applyBorder="1" applyAlignment="1">
      <alignment horizontal="center" vertical="center" wrapText="1"/>
    </xf>
    <xf numFmtId="0" fontId="0" fillId="33" borderId="19" xfId="0" applyFill="1" applyBorder="1"/>
    <xf numFmtId="0" fontId="0" fillId="33" borderId="20" xfId="0" applyFill="1" applyBorder="1"/>
    <xf numFmtId="164" fontId="0" fillId="33" borderId="20" xfId="0" applyNumberFormat="1" applyFill="1" applyBorder="1"/>
    <xf numFmtId="0" fontId="16" fillId="33" borderId="20" xfId="0" applyFont="1" applyFill="1" applyBorder="1" applyAlignment="1">
      <alignment horizontal="center" vertical="center"/>
    </xf>
    <xf numFmtId="0" fontId="16" fillId="33" borderId="21" xfId="0" applyFont="1" applyFill="1" applyBorder="1" applyAlignment="1">
      <alignment horizontal="center" vertical="center"/>
    </xf>
    <xf numFmtId="0" fontId="35" fillId="33" borderId="0" xfId="0" applyFont="1" applyFill="1" applyAlignment="1">
      <alignment horizontal="center" vertical="center"/>
    </xf>
    <xf numFmtId="164" fontId="16" fillId="33" borderId="0" xfId="0" applyNumberFormat="1" applyFont="1" applyFill="1" applyAlignment="1">
      <alignment horizontal="center" vertical="center"/>
    </xf>
    <xf numFmtId="0" fontId="19" fillId="36" borderId="0" xfId="0" applyFont="1" applyFill="1"/>
    <xf numFmtId="0" fontId="36" fillId="36" borderId="0" xfId="0" applyFont="1" applyFill="1"/>
    <xf numFmtId="0" fontId="36" fillId="36" borderId="17" xfId="0" applyFont="1" applyFill="1" applyBorder="1"/>
    <xf numFmtId="0" fontId="20" fillId="36" borderId="17" xfId="0" applyFont="1" applyFill="1" applyBorder="1"/>
    <xf numFmtId="0" fontId="0" fillId="36" borderId="10" xfId="0" applyFill="1" applyBorder="1"/>
    <xf numFmtId="164" fontId="0" fillId="35" borderId="10" xfId="0" applyNumberFormat="1" applyFill="1" applyBorder="1"/>
    <xf numFmtId="164" fontId="0" fillId="36" borderId="10" xfId="0" applyNumberFormat="1" applyFill="1" applyBorder="1" applyAlignment="1">
      <alignment horizontal="center" vertical="center"/>
    </xf>
    <xf numFmtId="164" fontId="0" fillId="36" borderId="10" xfId="0" applyNumberFormat="1" applyFill="1" applyBorder="1" applyAlignment="1">
      <alignment horizontal="center" vertical="center" wrapText="1"/>
    </xf>
    <xf numFmtId="164" fontId="0" fillId="37" borderId="10" xfId="0" applyNumberFormat="1" applyFill="1" applyBorder="1" applyAlignment="1">
      <alignment horizontal="center" vertical="center" wrapText="1"/>
    </xf>
    <xf numFmtId="164" fontId="0" fillId="37" borderId="10" xfId="0" applyNumberFormat="1" applyFill="1" applyBorder="1" applyAlignment="1">
      <alignment horizontal="center" vertical="center"/>
    </xf>
    <xf numFmtId="164" fontId="16" fillId="37" borderId="10" xfId="0" applyNumberFormat="1" applyFont="1" applyFill="1" applyBorder="1" applyAlignment="1">
      <alignment horizontal="center" vertical="center" wrapText="1"/>
    </xf>
    <xf numFmtId="0" fontId="0" fillId="33" borderId="14" xfId="0" applyFill="1" applyBorder="1"/>
    <xf numFmtId="164" fontId="0" fillId="33" borderId="14" xfId="0" applyNumberFormat="1" applyFill="1" applyBorder="1"/>
    <xf numFmtId="0" fontId="16" fillId="33" borderId="14" xfId="0" applyFont="1" applyFill="1" applyBorder="1" applyAlignment="1">
      <alignment horizontal="center" vertical="center"/>
    </xf>
    <xf numFmtId="165" fontId="33" fillId="33" borderId="14" xfId="0" applyNumberFormat="1" applyFont="1" applyFill="1" applyBorder="1" applyAlignment="1">
      <alignment horizontal="center" vertical="center" wrapText="1"/>
    </xf>
    <xf numFmtId="0" fontId="33" fillId="33" borderId="14" xfId="0" applyFont="1" applyFill="1" applyBorder="1" applyAlignment="1">
      <alignment horizontal="center" vertical="center" wrapText="1"/>
    </xf>
    <xf numFmtId="0" fontId="28" fillId="33" borderId="14" xfId="0" applyFont="1" applyFill="1" applyBorder="1" applyAlignment="1">
      <alignment horizontal="center" vertical="center" wrapText="1"/>
    </xf>
    <xf numFmtId="0" fontId="26" fillId="33" borderId="14" xfId="0" applyFont="1" applyFill="1" applyBorder="1" applyAlignment="1">
      <alignment horizontal="center" vertical="center" wrapText="1"/>
    </xf>
    <xf numFmtId="0" fontId="0" fillId="33" borderId="14" xfId="0" applyFill="1" applyBorder="1" applyAlignment="1">
      <alignment horizontal="center"/>
    </xf>
    <xf numFmtId="0" fontId="18" fillId="33" borderId="14" xfId="0" applyFont="1" applyFill="1" applyBorder="1" applyAlignment="1">
      <alignment horizontal="left" vertical="center" wrapText="1"/>
    </xf>
    <xf numFmtId="0" fontId="0" fillId="35" borderId="13" xfId="0" applyFill="1" applyBorder="1" applyAlignment="1">
      <alignment horizontal="center"/>
    </xf>
    <xf numFmtId="0" fontId="0" fillId="35" borderId="15" xfId="0" applyFill="1" applyBorder="1" applyAlignment="1">
      <alignment horizontal="center"/>
    </xf>
    <xf numFmtId="0" fontId="0" fillId="35" borderId="16" xfId="0" applyFill="1" applyBorder="1" applyAlignment="1">
      <alignment horizontal="center"/>
    </xf>
    <xf numFmtId="0" fontId="26" fillId="35" borderId="10" xfId="0" applyFont="1" applyFill="1" applyBorder="1" applyAlignment="1">
      <alignment horizontal="center" vertical="center" wrapText="1"/>
    </xf>
    <xf numFmtId="0" fontId="24" fillId="35" borderId="13" xfId="0" applyFont="1" applyFill="1" applyBorder="1" applyAlignment="1">
      <alignment horizontal="left" vertical="center" wrapText="1"/>
    </xf>
    <xf numFmtId="0" fontId="24" fillId="35" borderId="15" xfId="0" applyFont="1" applyFill="1" applyBorder="1" applyAlignment="1">
      <alignment horizontal="left" vertical="center" wrapText="1"/>
    </xf>
    <xf numFmtId="0" fontId="24" fillId="35" borderId="16" xfId="0" applyFont="1" applyFill="1" applyBorder="1" applyAlignment="1">
      <alignment horizontal="left" vertical="center" wrapText="1"/>
    </xf>
    <xf numFmtId="0" fontId="22" fillId="33" borderId="10" xfId="0" applyFont="1" applyFill="1" applyBorder="1" applyAlignment="1">
      <alignment horizontal="center" vertical="center"/>
    </xf>
    <xf numFmtId="0" fontId="23" fillId="33" borderId="11" xfId="0" applyFont="1" applyFill="1" applyBorder="1" applyAlignment="1">
      <alignment horizontal="center" vertical="center"/>
    </xf>
    <xf numFmtId="0" fontId="23" fillId="33" borderId="14" xfId="0" applyFont="1" applyFill="1" applyBorder="1" applyAlignment="1">
      <alignment horizontal="center" vertical="center"/>
    </xf>
    <xf numFmtId="0" fontId="23" fillId="33" borderId="12" xfId="0" applyFont="1" applyFill="1" applyBorder="1" applyAlignment="1">
      <alignment horizontal="center" vertical="center"/>
    </xf>
    <xf numFmtId="0" fontId="24" fillId="34" borderId="10" xfId="0" applyFont="1" applyFill="1" applyBorder="1" applyAlignment="1">
      <alignment horizontal="center" vertical="center" wrapText="1"/>
    </xf>
    <xf numFmtId="0" fontId="25" fillId="33" borderId="10" xfId="0" applyFont="1" applyFill="1" applyBorder="1" applyAlignment="1">
      <alignment horizontal="center" vertical="center" wrapText="1"/>
    </xf>
    <xf numFmtId="0" fontId="13" fillId="33" borderId="10" xfId="0" applyFont="1" applyFill="1" applyBorder="1" applyAlignment="1">
      <alignment horizontal="center" vertical="center" wrapText="1"/>
    </xf>
    <xf numFmtId="164" fontId="0" fillId="35" borderId="10" xfId="0" applyNumberFormat="1" applyFill="1" applyBorder="1" applyAlignment="1">
      <alignment horizontal="center" vertical="center" wrapText="1"/>
    </xf>
    <xf numFmtId="0" fontId="16" fillId="35" borderId="10" xfId="0" applyFont="1" applyFill="1" applyBorder="1" applyAlignment="1">
      <alignment horizontal="center" vertical="center"/>
    </xf>
    <xf numFmtId="164" fontId="13" fillId="33" borderId="10" xfId="0" applyNumberFormat="1" applyFont="1" applyFill="1" applyBorder="1" applyAlignment="1">
      <alignment horizontal="center" vertical="center" wrapText="1"/>
    </xf>
    <xf numFmtId="164" fontId="0" fillId="35" borderId="10" xfId="0" applyNumberFormat="1" applyFill="1" applyBorder="1" applyAlignment="1">
      <alignment horizontal="center" vertical="center"/>
    </xf>
    <xf numFmtId="0" fontId="23" fillId="34" borderId="13" xfId="0" applyFont="1" applyFill="1" applyBorder="1" applyAlignment="1">
      <alignment horizontal="center" vertical="center"/>
    </xf>
    <xf numFmtId="0" fontId="23" fillId="34" borderId="16" xfId="0" applyFont="1" applyFill="1" applyBorder="1" applyAlignment="1">
      <alignment horizontal="center" vertical="center"/>
    </xf>
    <xf numFmtId="0" fontId="24" fillId="34" borderId="23" xfId="0" applyFont="1" applyFill="1" applyBorder="1" applyAlignment="1">
      <alignment horizontal="center" vertical="center" wrapText="1"/>
    </xf>
    <xf numFmtId="0" fontId="24" fillId="34" borderId="22" xfId="0" applyFont="1" applyFill="1" applyBorder="1" applyAlignment="1">
      <alignment horizontal="center" vertical="center" wrapText="1"/>
    </xf>
    <xf numFmtId="0" fontId="24" fillId="34" borderId="24" xfId="0" applyFont="1" applyFill="1" applyBorder="1" applyAlignment="1">
      <alignment horizontal="center" vertical="center" wrapText="1"/>
    </xf>
    <xf numFmtId="0" fontId="24" fillId="34" borderId="19" xfId="0" applyFont="1" applyFill="1" applyBorder="1" applyAlignment="1">
      <alignment horizontal="center" vertical="center" wrapText="1"/>
    </xf>
    <xf numFmtId="0" fontId="24" fillId="34" borderId="20" xfId="0" applyFont="1" applyFill="1" applyBorder="1" applyAlignment="1">
      <alignment horizontal="center" vertical="center" wrapText="1"/>
    </xf>
    <xf numFmtId="0" fontId="24" fillId="34" borderId="21"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4" fillId="36" borderId="23" xfId="0" applyFont="1" applyFill="1" applyBorder="1" applyAlignment="1">
      <alignment horizontal="center" vertical="center" wrapText="1"/>
    </xf>
    <xf numFmtId="0" fontId="24" fillId="36" borderId="22" xfId="0" applyFont="1" applyFill="1" applyBorder="1" applyAlignment="1">
      <alignment horizontal="center" vertical="center" wrapText="1"/>
    </xf>
    <xf numFmtId="0" fontId="24" fillId="36" borderId="24" xfId="0" applyFont="1" applyFill="1" applyBorder="1" applyAlignment="1">
      <alignment horizontal="center" vertical="center" wrapText="1"/>
    </xf>
    <xf numFmtId="0" fontId="24" fillId="36" borderId="19" xfId="0" applyFont="1" applyFill="1" applyBorder="1" applyAlignment="1">
      <alignment horizontal="center" vertical="center" wrapText="1"/>
    </xf>
    <xf numFmtId="0" fontId="24" fillId="36" borderId="20" xfId="0" applyFont="1" applyFill="1" applyBorder="1" applyAlignment="1">
      <alignment horizontal="center" vertical="center" wrapText="1"/>
    </xf>
    <xf numFmtId="0" fontId="24" fillId="36" borderId="21" xfId="0" applyFont="1" applyFill="1" applyBorder="1" applyAlignment="1">
      <alignment horizontal="center" vertical="center" wrapText="1"/>
    </xf>
    <xf numFmtId="164" fontId="25" fillId="33" borderId="10" xfId="0" applyNumberFormat="1" applyFont="1" applyFill="1" applyBorder="1" applyAlignment="1">
      <alignment horizontal="center" vertical="center" wrapText="1"/>
    </xf>
    <xf numFmtId="164" fontId="21" fillId="33" borderId="10" xfId="0" applyNumberFormat="1" applyFont="1" applyFill="1" applyBorder="1" applyAlignment="1">
      <alignment horizontal="center" vertical="center" wrapText="1"/>
    </xf>
    <xf numFmtId="0" fontId="29" fillId="33" borderId="23" xfId="0" applyFont="1" applyFill="1" applyBorder="1" applyAlignment="1">
      <alignment horizontal="center" vertical="center" wrapText="1"/>
    </xf>
    <xf numFmtId="0" fontId="29" fillId="33" borderId="17" xfId="0" applyFont="1" applyFill="1" applyBorder="1" applyAlignment="1">
      <alignment horizontal="center" vertical="center" wrapText="1"/>
    </xf>
    <xf numFmtId="0" fontId="29" fillId="33" borderId="19" xfId="0" applyFont="1" applyFill="1" applyBorder="1" applyAlignment="1">
      <alignment horizontal="center" vertical="center" wrapText="1"/>
    </xf>
    <xf numFmtId="164" fontId="16" fillId="35" borderId="11" xfId="0" applyNumberFormat="1" applyFont="1" applyFill="1" applyBorder="1" applyAlignment="1">
      <alignment horizontal="center" vertical="center" wrapText="1"/>
    </xf>
    <xf numFmtId="164" fontId="16" fillId="35" borderId="12" xfId="0" applyNumberFormat="1" applyFont="1" applyFill="1" applyBorder="1" applyAlignment="1">
      <alignment horizontal="center" vertical="center" wrapText="1"/>
    </xf>
    <xf numFmtId="164" fontId="16" fillId="35" borderId="11" xfId="0" applyNumberFormat="1" applyFont="1" applyFill="1" applyBorder="1" applyAlignment="1">
      <alignment horizontal="center" vertical="center"/>
    </xf>
    <xf numFmtId="164" fontId="16" fillId="35" borderId="12" xfId="0" applyNumberFormat="1" applyFont="1" applyFill="1" applyBorder="1" applyAlignment="1">
      <alignment horizontal="center" vertical="center"/>
    </xf>
    <xf numFmtId="164" fontId="13" fillId="33" borderId="10" xfId="0" applyNumberFormat="1" applyFont="1" applyFill="1" applyBorder="1" applyAlignment="1">
      <alignment horizontal="center" vertical="center"/>
    </xf>
    <xf numFmtId="0" fontId="13" fillId="33" borderId="11" xfId="0" applyFont="1" applyFill="1" applyBorder="1" applyAlignment="1">
      <alignment horizontal="center" vertical="center"/>
    </xf>
    <xf numFmtId="0" fontId="13" fillId="33" borderId="14" xfId="0" applyFont="1" applyFill="1" applyBorder="1" applyAlignment="1">
      <alignment horizontal="center" vertical="center"/>
    </xf>
    <xf numFmtId="165" fontId="16" fillId="37" borderId="11" xfId="0" applyNumberFormat="1" applyFont="1" applyFill="1" applyBorder="1" applyAlignment="1">
      <alignment horizontal="center" vertical="center" wrapText="1"/>
    </xf>
    <xf numFmtId="165" fontId="16" fillId="37" borderId="14" xfId="0" applyNumberFormat="1" applyFont="1" applyFill="1" applyBorder="1" applyAlignment="1">
      <alignment horizontal="center" vertical="center" wrapText="1"/>
    </xf>
    <xf numFmtId="165" fontId="16" fillId="37" borderId="12" xfId="0" applyNumberFormat="1" applyFont="1" applyFill="1" applyBorder="1" applyAlignment="1">
      <alignment horizontal="center" vertical="center" wrapText="1"/>
    </xf>
    <xf numFmtId="0" fontId="13" fillId="33" borderId="12" xfId="0" applyFont="1" applyFill="1" applyBorder="1" applyAlignment="1">
      <alignment horizontal="center" vertical="center"/>
    </xf>
    <xf numFmtId="0" fontId="13" fillId="33" borderId="23" xfId="0" applyFont="1" applyFill="1" applyBorder="1" applyAlignment="1">
      <alignment horizontal="center" vertical="center"/>
    </xf>
    <xf numFmtId="0" fontId="13" fillId="33" borderId="22" xfId="0" applyFont="1" applyFill="1" applyBorder="1" applyAlignment="1">
      <alignment horizontal="center" vertical="center"/>
    </xf>
    <xf numFmtId="0" fontId="13" fillId="33" borderId="19" xfId="0" applyFont="1" applyFill="1" applyBorder="1" applyAlignment="1">
      <alignment horizontal="center" vertical="center"/>
    </xf>
    <xf numFmtId="0" fontId="13" fillId="33" borderId="20" xfId="0" applyFont="1" applyFill="1" applyBorder="1" applyAlignment="1">
      <alignment horizontal="center" vertical="center"/>
    </xf>
    <xf numFmtId="0" fontId="13" fillId="33" borderId="11" xfId="0" applyFont="1" applyFill="1" applyBorder="1" applyAlignment="1">
      <alignment horizontal="center" vertical="center" wrapText="1"/>
    </xf>
    <xf numFmtId="0" fontId="13" fillId="33" borderId="14"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8" fillId="35" borderId="13" xfId="0" applyFont="1" applyFill="1" applyBorder="1" applyAlignment="1">
      <alignment horizontal="left" vertical="center" wrapText="1"/>
    </xf>
    <xf numFmtId="0" fontId="18" fillId="35" borderId="15" xfId="0" applyFont="1" applyFill="1" applyBorder="1" applyAlignment="1">
      <alignment horizontal="left" vertical="center" wrapText="1"/>
    </xf>
    <xf numFmtId="0" fontId="18" fillId="35" borderId="16" xfId="0" applyFont="1" applyFill="1" applyBorder="1" applyAlignment="1">
      <alignment horizontal="left" vertical="center" wrapText="1"/>
    </xf>
    <xf numFmtId="164" fontId="28" fillId="36" borderId="13" xfId="0" applyNumberFormat="1" applyFont="1" applyFill="1" applyBorder="1" applyAlignment="1">
      <alignment horizontal="center" vertical="center"/>
    </xf>
    <xf numFmtId="164" fontId="28" fillId="36" borderId="15" xfId="0" applyNumberFormat="1" applyFont="1" applyFill="1" applyBorder="1" applyAlignment="1">
      <alignment horizontal="center" vertical="center"/>
    </xf>
    <xf numFmtId="164" fontId="28" fillId="36" borderId="16" xfId="0" applyNumberFormat="1" applyFont="1" applyFill="1" applyBorder="1" applyAlignment="1">
      <alignment horizontal="center" vertical="center"/>
    </xf>
    <xf numFmtId="0" fontId="13" fillId="33" borderId="10" xfId="0" applyFont="1" applyFill="1" applyBorder="1" applyAlignment="1">
      <alignment horizontal="center" vertical="center"/>
    </xf>
    <xf numFmtId="0" fontId="21" fillId="33" borderId="10" xfId="0" applyFont="1" applyFill="1" applyBorder="1" applyAlignment="1">
      <alignment horizontal="center" vertical="center" wrapText="1"/>
    </xf>
    <xf numFmtId="165" fontId="33" fillId="37" borderId="11" xfId="0" applyNumberFormat="1" applyFont="1" applyFill="1" applyBorder="1" applyAlignment="1">
      <alignment horizontal="center" vertical="center" wrapText="1"/>
    </xf>
    <xf numFmtId="165" fontId="33" fillId="37" borderId="14" xfId="0" applyNumberFormat="1" applyFont="1" applyFill="1" applyBorder="1" applyAlignment="1">
      <alignment horizontal="center" vertical="center" wrapText="1"/>
    </xf>
    <xf numFmtId="165" fontId="33" fillId="37" borderId="12" xfId="0" applyNumberFormat="1" applyFont="1" applyFill="1" applyBorder="1" applyAlignment="1">
      <alignment horizontal="center" vertical="center" wrapText="1"/>
    </xf>
    <xf numFmtId="0" fontId="34" fillId="33" borderId="11" xfId="0" applyFont="1" applyFill="1" applyBorder="1" applyAlignment="1">
      <alignment horizontal="center" vertical="center" wrapText="1"/>
    </xf>
    <xf numFmtId="0" fontId="34" fillId="33" borderId="14" xfId="0" applyFont="1" applyFill="1" applyBorder="1" applyAlignment="1">
      <alignment horizontal="center" vertical="center" wrapText="1"/>
    </xf>
    <xf numFmtId="0" fontId="31" fillId="36" borderId="22" xfId="0" applyFont="1" applyFill="1" applyBorder="1" applyAlignment="1">
      <alignment horizontal="center" vertical="center" wrapText="1"/>
    </xf>
    <xf numFmtId="0" fontId="28" fillId="36" borderId="22" xfId="0" applyFont="1" applyFill="1" applyBorder="1" applyAlignment="1">
      <alignment horizontal="center" vertical="center" wrapText="1"/>
    </xf>
    <xf numFmtId="0" fontId="28" fillId="36" borderId="24" xfId="0" applyFont="1" applyFill="1" applyBorder="1" applyAlignment="1">
      <alignment horizontal="center" vertical="center" wrapText="1"/>
    </xf>
    <xf numFmtId="0" fontId="28" fillId="36" borderId="0" xfId="0" applyFont="1" applyFill="1" applyAlignment="1">
      <alignment horizontal="center" vertical="center" wrapText="1"/>
    </xf>
    <xf numFmtId="0" fontId="28" fillId="36" borderId="18" xfId="0" applyFont="1" applyFill="1" applyBorder="1" applyAlignment="1">
      <alignment horizontal="center" vertical="center" wrapText="1"/>
    </xf>
    <xf numFmtId="0" fontId="28" fillId="36" borderId="20" xfId="0" applyFont="1" applyFill="1" applyBorder="1" applyAlignment="1">
      <alignment horizontal="center" vertical="center" wrapText="1"/>
    </xf>
    <xf numFmtId="0" fontId="28" fillId="36" borderId="21" xfId="0" applyFont="1" applyFill="1" applyBorder="1" applyAlignment="1">
      <alignment horizontal="center" vertical="center" wrapText="1"/>
    </xf>
    <xf numFmtId="0" fontId="29" fillId="33" borderId="23" xfId="0" applyFont="1" applyFill="1" applyBorder="1" applyAlignment="1">
      <alignment horizontal="center" vertical="center"/>
    </xf>
    <xf numFmtId="0" fontId="29" fillId="33" borderId="22" xfId="0" applyFont="1" applyFill="1" applyBorder="1" applyAlignment="1">
      <alignment horizontal="center" vertical="center"/>
    </xf>
    <xf numFmtId="0" fontId="29" fillId="33" borderId="24" xfId="0" applyFont="1" applyFill="1" applyBorder="1" applyAlignment="1">
      <alignment horizontal="center" vertical="center"/>
    </xf>
    <xf numFmtId="0" fontId="29" fillId="33" borderId="19" xfId="0" applyFont="1" applyFill="1" applyBorder="1" applyAlignment="1">
      <alignment horizontal="center" vertical="center"/>
    </xf>
    <xf numFmtId="0" fontId="29" fillId="33" borderId="20" xfId="0" applyFont="1" applyFill="1" applyBorder="1" applyAlignment="1">
      <alignment horizontal="center" vertical="center"/>
    </xf>
    <xf numFmtId="0" fontId="29" fillId="33" borderId="21" xfId="0" applyFont="1" applyFill="1" applyBorder="1" applyAlignment="1">
      <alignment horizontal="center" vertical="center"/>
    </xf>
    <xf numFmtId="164" fontId="16" fillId="35" borderId="13" xfId="0" applyNumberFormat="1" applyFont="1" applyFill="1" applyBorder="1" applyAlignment="1">
      <alignment horizontal="center" vertical="center"/>
    </xf>
    <xf numFmtId="0" fontId="16" fillId="35" borderId="16" xfId="0" applyFont="1" applyFill="1" applyBorder="1" applyAlignment="1">
      <alignment horizontal="center" vertical="center"/>
    </xf>
    <xf numFmtId="0" fontId="16" fillId="35" borderId="15" xfId="0" applyFont="1" applyFill="1" applyBorder="1" applyAlignment="1">
      <alignment horizontal="center" vertical="center"/>
    </xf>
    <xf numFmtId="0" fontId="13" fillId="33" borderId="11" xfId="0" applyFont="1" applyFill="1" applyBorder="1" applyAlignment="1">
      <alignment horizontal="center"/>
    </xf>
    <xf numFmtId="0" fontId="13" fillId="33" borderId="14" xfId="0" applyFont="1" applyFill="1" applyBorder="1" applyAlignment="1">
      <alignment horizontal="center"/>
    </xf>
    <xf numFmtId="0" fontId="13" fillId="33" borderId="12" xfId="0" applyFont="1" applyFill="1" applyBorder="1" applyAlignment="1">
      <alignment horizontal="center"/>
    </xf>
    <xf numFmtId="9" fontId="16" fillId="35" borderId="11" xfId="0" applyNumberFormat="1" applyFont="1" applyFill="1" applyBorder="1" applyAlignment="1">
      <alignment horizontal="center" vertical="center"/>
    </xf>
    <xf numFmtId="0" fontId="16" fillId="35" borderId="12" xfId="0" applyFont="1" applyFill="1" applyBorder="1" applyAlignment="1">
      <alignment horizontal="center" vertical="center"/>
    </xf>
    <xf numFmtId="0" fontId="13" fillId="33" borderId="23" xfId="0" applyFont="1" applyFill="1" applyBorder="1" applyAlignment="1">
      <alignment horizontal="center" vertical="center" wrapText="1"/>
    </xf>
    <xf numFmtId="0" fontId="13" fillId="33" borderId="22" xfId="0" applyFont="1" applyFill="1" applyBorder="1" applyAlignment="1">
      <alignment horizontal="center" vertical="center" wrapText="1"/>
    </xf>
    <xf numFmtId="0" fontId="13" fillId="33" borderId="24" xfId="0" applyFont="1" applyFill="1" applyBorder="1" applyAlignment="1">
      <alignment horizontal="center" vertical="center" wrapText="1"/>
    </xf>
    <xf numFmtId="0" fontId="13" fillId="33" borderId="19" xfId="0" applyFont="1" applyFill="1" applyBorder="1" applyAlignment="1">
      <alignment horizontal="center" vertical="center" wrapText="1"/>
    </xf>
    <xf numFmtId="0" fontId="13" fillId="33" borderId="20" xfId="0" applyFont="1" applyFill="1" applyBorder="1" applyAlignment="1">
      <alignment horizontal="center" vertical="center" wrapText="1"/>
    </xf>
    <xf numFmtId="0" fontId="13" fillId="33" borderId="21" xfId="0" applyFont="1" applyFill="1" applyBorder="1" applyAlignment="1">
      <alignment horizontal="center" vertical="center" wrapText="1"/>
    </xf>
    <xf numFmtId="164" fontId="16" fillId="35" borderId="10" xfId="0" applyNumberFormat="1" applyFont="1" applyFill="1" applyBorder="1" applyAlignment="1">
      <alignment horizontal="center" vertical="center"/>
    </xf>
    <xf numFmtId="164" fontId="16" fillId="35" borderId="15" xfId="0" applyNumberFormat="1" applyFont="1" applyFill="1" applyBorder="1" applyAlignment="1">
      <alignment horizontal="center" vertical="center"/>
    </xf>
    <xf numFmtId="0" fontId="19" fillId="36" borderId="22" xfId="0" applyFont="1" applyFill="1" applyBorder="1" applyAlignment="1">
      <alignment horizontal="center" vertical="center" wrapText="1"/>
    </xf>
    <xf numFmtId="0" fontId="19" fillId="36" borderId="24" xfId="0" applyFont="1" applyFill="1" applyBorder="1" applyAlignment="1">
      <alignment horizontal="center" vertical="center" wrapText="1"/>
    </xf>
    <xf numFmtId="0" fontId="19" fillId="36" borderId="0" xfId="0" applyFont="1" applyFill="1" applyAlignment="1">
      <alignment horizontal="center" vertical="center" wrapText="1"/>
    </xf>
    <xf numFmtId="0" fontId="19" fillId="36" borderId="18" xfId="0" applyFont="1" applyFill="1" applyBorder="1" applyAlignment="1">
      <alignment horizontal="center" vertical="center" wrapText="1"/>
    </xf>
    <xf numFmtId="0" fontId="19" fillId="36" borderId="20" xfId="0" applyFont="1" applyFill="1" applyBorder="1" applyAlignment="1">
      <alignment horizontal="center" vertical="center" wrapText="1"/>
    </xf>
    <xf numFmtId="0" fontId="19" fillId="36" borderId="21" xfId="0" applyFont="1" applyFill="1" applyBorder="1" applyAlignment="1">
      <alignment horizontal="center" vertical="center" wrapText="1"/>
    </xf>
  </cellXfs>
  <cellStyles count="42">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Zły" xfId="7" builtinId="27" customBuiltin="1"/>
  </cellStyles>
  <dxfs count="3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numFmt numFmtId="0" formatCode="General"/>
      <border diagonalUp="0" diagonalDown="0">
        <left/>
        <right style="thin">
          <color auto="1"/>
        </right>
        <top/>
        <bottom/>
        <vertical/>
        <horizontal/>
      </border>
    </dxf>
    <dxf>
      <numFmt numFmtId="0" formatCode="General"/>
    </dxf>
    <dxf>
      <numFmt numFmtId="0" formatCode="General"/>
    </dxf>
    <dxf>
      <border diagonalUp="0" diagonalDown="0">
        <left style="thin">
          <color auto="1"/>
        </left>
        <right/>
        <top/>
        <bottom/>
        <vertical/>
        <horizontal/>
      </border>
    </dxf>
    <dxf>
      <numFmt numFmtId="2" formatCode="0.00"/>
    </dxf>
    <dxf>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Calibri"/>
        <family val="2"/>
        <charset val="238"/>
        <scheme val="minor"/>
      </font>
      <alignment horizontal="center" vertical="center" textRotation="0" wrapText="1" indent="0" justifyLastLine="0" shrinkToFit="0" readingOrder="0"/>
    </dxf>
    <dxf>
      <numFmt numFmtId="0" formatCode="General"/>
      <border diagonalUp="0" diagonalDown="0">
        <left/>
        <right style="thin">
          <color auto="1"/>
        </right>
        <top/>
        <bottom/>
        <vertical/>
        <horizontal/>
      </border>
    </dxf>
    <dxf>
      <numFmt numFmtId="0" formatCode="General"/>
    </dxf>
    <dxf>
      <numFmt numFmtId="0" formatCode="General"/>
    </dxf>
    <dxf>
      <border diagonalUp="0" diagonalDown="0">
        <left style="thin">
          <color auto="1"/>
        </left>
        <right/>
        <top/>
        <bottom/>
        <vertical/>
        <horizontal/>
      </border>
    </dxf>
    <dxf>
      <numFmt numFmtId="2" formatCode="0.00"/>
    </dxf>
    <dxf>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Calibri"/>
        <family val="2"/>
        <charset val="238"/>
        <scheme val="minor"/>
      </font>
      <alignment horizontal="center" vertical="center" textRotation="0" wrapText="1" indent="0" justifyLastLine="0" shrinkToFit="0" readingOrder="0"/>
    </dxf>
    <dxf>
      <numFmt numFmtId="0" formatCode="General"/>
      <border diagonalUp="0" diagonalDown="0">
        <left/>
        <right style="thin">
          <color auto="1"/>
        </right>
        <top/>
        <bottom/>
        <vertical/>
        <horizontal/>
      </border>
    </dxf>
    <dxf>
      <numFmt numFmtId="0" formatCode="General"/>
    </dxf>
    <dxf>
      <numFmt numFmtId="0" formatCode="General"/>
    </dxf>
    <dxf>
      <border diagonalUp="0" diagonalDown="0">
        <left style="thin">
          <color auto="1"/>
        </left>
        <right/>
        <top/>
        <bottom/>
        <vertical/>
        <horizontal/>
      </border>
    </dxf>
    <dxf>
      <numFmt numFmtId="2" formatCode="0.00"/>
    </dxf>
    <dxf>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Calibri"/>
        <family val="2"/>
        <charset val="238"/>
        <scheme val="minor"/>
      </font>
      <alignment horizontal="center" vertical="center" textRotation="0" wrapText="1" indent="0" justifyLastLine="0" shrinkToFit="0" readingOrder="0"/>
    </dxf>
    <dxf>
      <fill>
        <patternFill>
          <bgColor rgb="FFADDADB"/>
        </patternFill>
      </fill>
    </dxf>
    <dxf>
      <fill>
        <patternFill>
          <bgColor rgb="FFD4EBEC"/>
        </patternFill>
      </fill>
    </dxf>
    <dxf>
      <font>
        <b/>
        <i val="0"/>
        <color theme="0"/>
      </font>
      <fill>
        <patternFill>
          <bgColor rgb="FF409394"/>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border>
    </dxf>
  </dxfs>
  <tableStyles count="1" defaultTableStyle="TableStyleMedium2" defaultPivotStyle="PivotStyleLight16">
    <tableStyle name="Seledynowy" pivot="0" count="4" xr9:uid="{26C59DBC-D04F-4BBF-AC98-8CA7A15317B0}">
      <tableStyleElement type="wholeTable" dxfId="30"/>
      <tableStyleElement type="headerRow" dxfId="29"/>
      <tableStyleElement type="firstRowStripe" dxfId="28"/>
      <tableStyleElement type="secondRowStripe" dxfId="27"/>
    </tableStyle>
  </tableStyles>
  <colors>
    <mruColors>
      <color rgb="FF409394"/>
      <color rgb="FF87C9CB"/>
      <color rgb="FFD4EBEC"/>
      <color rgb="FFB1DCDD"/>
      <color rgb="FFFFFFCC"/>
      <color rgb="FFADD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44295</xdr:colOff>
      <xdr:row>1</xdr:row>
      <xdr:rowOff>7817</xdr:rowOff>
    </xdr:from>
    <xdr:to>
      <xdr:col>1</xdr:col>
      <xdr:colOff>1978269</xdr:colOff>
      <xdr:row>3</xdr:row>
      <xdr:rowOff>335587</xdr:rowOff>
    </xdr:to>
    <xdr:pic>
      <xdr:nvPicPr>
        <xdr:cNvPr id="3" name="Obraz 2">
          <a:extLst>
            <a:ext uri="{FF2B5EF4-FFF2-40B4-BE49-F238E27FC236}">
              <a16:creationId xmlns:a16="http://schemas.microsoft.com/office/drawing/2014/main" id="{4DD22F1F-5026-4CFB-6C77-C13F25181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353" y="198317"/>
          <a:ext cx="1933974" cy="10088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44295</xdr:colOff>
      <xdr:row>1</xdr:row>
      <xdr:rowOff>7817</xdr:rowOff>
    </xdr:from>
    <xdr:to>
      <xdr:col>1</xdr:col>
      <xdr:colOff>1978269</xdr:colOff>
      <xdr:row>3</xdr:row>
      <xdr:rowOff>339397</xdr:rowOff>
    </xdr:to>
    <xdr:pic>
      <xdr:nvPicPr>
        <xdr:cNvPr id="2" name="Obraz 1">
          <a:extLst>
            <a:ext uri="{FF2B5EF4-FFF2-40B4-BE49-F238E27FC236}">
              <a16:creationId xmlns:a16="http://schemas.microsoft.com/office/drawing/2014/main" id="{A536E811-7FBC-42FE-BE71-CBDE7DDEC1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810" y="196412"/>
          <a:ext cx="1935879" cy="10116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44295</xdr:colOff>
      <xdr:row>1</xdr:row>
      <xdr:rowOff>7817</xdr:rowOff>
    </xdr:from>
    <xdr:to>
      <xdr:col>1</xdr:col>
      <xdr:colOff>1978269</xdr:colOff>
      <xdr:row>3</xdr:row>
      <xdr:rowOff>339397</xdr:rowOff>
    </xdr:to>
    <xdr:pic>
      <xdr:nvPicPr>
        <xdr:cNvPr id="2" name="Obraz 1">
          <a:extLst>
            <a:ext uri="{FF2B5EF4-FFF2-40B4-BE49-F238E27FC236}">
              <a16:creationId xmlns:a16="http://schemas.microsoft.com/office/drawing/2014/main" id="{1B0412CD-101D-461E-8912-7C332BDE57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810" y="196412"/>
          <a:ext cx="1935879" cy="1019285"/>
        </a:xfrm>
        <a:prstGeom prst="rect">
          <a:avLst/>
        </a:prstGeom>
      </xdr:spPr>
    </xdr:pic>
    <xdr:clientData/>
  </xdr:twoCellAnchor>
  <xdr:twoCellAnchor editAs="oneCell">
    <xdr:from>
      <xdr:col>1</xdr:col>
      <xdr:colOff>165930</xdr:colOff>
      <xdr:row>5</xdr:row>
      <xdr:rowOff>24701</xdr:rowOff>
    </xdr:from>
    <xdr:to>
      <xdr:col>4</xdr:col>
      <xdr:colOff>225509</xdr:colOff>
      <xdr:row>5</xdr:row>
      <xdr:rowOff>2137557</xdr:rowOff>
    </xdr:to>
    <xdr:pic>
      <xdr:nvPicPr>
        <xdr:cNvPr id="4" name="Obraz 3">
          <a:extLst>
            <a:ext uri="{FF2B5EF4-FFF2-40B4-BE49-F238E27FC236}">
              <a16:creationId xmlns:a16="http://schemas.microsoft.com/office/drawing/2014/main" id="{5BA637A8-15AA-AB13-EF06-F55756FA13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592" y="1601455"/>
          <a:ext cx="3754692" cy="2120476"/>
        </a:xfrm>
        <a:prstGeom prst="rect">
          <a:avLst/>
        </a:prstGeom>
      </xdr:spPr>
    </xdr:pic>
    <xdr:clientData/>
  </xdr:twoCellAnchor>
  <xdr:twoCellAnchor editAs="oneCell">
    <xdr:from>
      <xdr:col>5</xdr:col>
      <xdr:colOff>46978</xdr:colOff>
      <xdr:row>5</xdr:row>
      <xdr:rowOff>28971</xdr:rowOff>
    </xdr:from>
    <xdr:to>
      <xdr:col>9</xdr:col>
      <xdr:colOff>457496</xdr:colOff>
      <xdr:row>5</xdr:row>
      <xdr:rowOff>2138151</xdr:rowOff>
    </xdr:to>
    <xdr:pic>
      <xdr:nvPicPr>
        <xdr:cNvPr id="6" name="Obraz 5">
          <a:extLst>
            <a:ext uri="{FF2B5EF4-FFF2-40B4-BE49-F238E27FC236}">
              <a16:creationId xmlns:a16="http://schemas.microsoft.com/office/drawing/2014/main" id="{0A42B8F9-61D8-27D8-12AC-7A899C952E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12055" y="1605725"/>
          <a:ext cx="3786764" cy="211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44295</xdr:colOff>
      <xdr:row>1</xdr:row>
      <xdr:rowOff>7817</xdr:rowOff>
    </xdr:from>
    <xdr:to>
      <xdr:col>1</xdr:col>
      <xdr:colOff>1978269</xdr:colOff>
      <xdr:row>3</xdr:row>
      <xdr:rowOff>339397</xdr:rowOff>
    </xdr:to>
    <xdr:pic>
      <xdr:nvPicPr>
        <xdr:cNvPr id="2" name="Obraz 1">
          <a:extLst>
            <a:ext uri="{FF2B5EF4-FFF2-40B4-BE49-F238E27FC236}">
              <a16:creationId xmlns:a16="http://schemas.microsoft.com/office/drawing/2014/main" id="{A725862A-F277-46A8-B16E-6F9177522C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620" y="198317"/>
          <a:ext cx="1933974" cy="1017380"/>
        </a:xfrm>
        <a:prstGeom prst="rect">
          <a:avLst/>
        </a:prstGeom>
      </xdr:spPr>
    </xdr:pic>
    <xdr:clientData/>
  </xdr:twoCellAnchor>
  <xdr:twoCellAnchor editAs="oneCell">
    <xdr:from>
      <xdr:col>2</xdr:col>
      <xdr:colOff>762000</xdr:colOff>
      <xdr:row>5</xdr:row>
      <xdr:rowOff>23813</xdr:rowOff>
    </xdr:from>
    <xdr:to>
      <xdr:col>7</xdr:col>
      <xdr:colOff>269875</xdr:colOff>
      <xdr:row>5</xdr:row>
      <xdr:rowOff>2135684</xdr:rowOff>
    </xdr:to>
    <xdr:pic>
      <xdr:nvPicPr>
        <xdr:cNvPr id="6" name="Obraz 5">
          <a:extLst>
            <a:ext uri="{FF2B5EF4-FFF2-40B4-BE49-F238E27FC236}">
              <a16:creationId xmlns:a16="http://schemas.microsoft.com/office/drawing/2014/main" id="{340F2558-D23F-5EF8-1133-1FEBF34AB4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95625" y="1579563"/>
          <a:ext cx="3754438" cy="21118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5D305F-E93F-4584-BE62-9666CF5C3AEC}" name="Tabela2" displayName="Tabela2" ref="B13:J24" totalsRowShown="0" headerRowDxfId="26">
  <autoFilter ref="B13:J24" xr:uid="{CD5D305F-E93F-4584-BE62-9666CF5C3AEC}"/>
  <tableColumns count="9">
    <tableColumn id="1" xr3:uid="{2CE13297-7229-4F2C-9843-F216EE5A73F7}" name="OPIS WŁASNY" dataDxfId="25"/>
    <tableColumn id="2" xr3:uid="{B4B17BCE-9BC8-4DF2-B713-AA09DE441DD0}" name="WSPÓŁCZYNNIK _x000a_[1.0 - 2.0]" dataDxfId="24"/>
    <tableColumn id="3" xr3:uid="{5E1DB754-3849-443D-80D0-6DDDDCC4BA68}" name="SZEROKOŚĆ _x000a_[CM]"/>
    <tableColumn id="4" xr3:uid="{96DC3A18-9BD9-4A52-AAC1-8A9FE1CAE591}" name="WYSOKOŚĆ _x000a_[CM]"/>
    <tableColumn id="5" xr3:uid="{F34671D3-CE89-4444-A785-62CFE8686409}" name="GŁĘBOKOŚĆ _x000a_[CM]"/>
    <tableColumn id="6" xr3:uid="{D6E7A5CD-FCDD-4360-BE4C-4D317478FBE7}" name="ILOŚĆ _x000a_[SZT]" dataDxfId="23"/>
    <tableColumn id="7" xr3:uid="{723F27EF-118C-42C5-8231-D78677A46EF6}" name="OBJĘTOŚĆ _x000a_[CM^3]" dataDxfId="22">
      <calculatedColumnFormula>Tabela2[[#This Row],[SZEROKOŚĆ 
'[CM']]]*Tabela2[[#This Row],[WYSOKOŚĆ 
'[CM']]]*Tabela2[[#This Row],[GŁĘBOKOŚĆ 
'[CM']]]</calculatedColumnFormula>
    </tableColumn>
    <tableColumn id="8" xr3:uid="{C6441736-DE8F-4F9E-96B3-F5F235242180}" name="OBJĘTOŚĆ _x000a_[M^3]" dataDxfId="21">
      <calculatedColumnFormula>Tabela2[[#This Row],[OBJĘTOŚĆ 
'[CM^3']]]/1000000</calculatedColumnFormula>
    </tableColumn>
    <tableColumn id="9" xr3:uid="{38D5B649-08DE-415C-A7F8-CEC2DD026862}" name="WYNIK " dataDxfId="20">
      <calculatedColumnFormula>Tabela2[[#This Row],[WSPÓŁCZYNNIK 
'[1.0 - 2.0']]]*Tabela2[[#This Row],[ILOŚĆ 
'[SZT']]]*Tabela2[[#This Row],[OBJĘTOŚĆ 
'[M^3']]]</calculatedColumnFormula>
    </tableColumn>
  </tableColumns>
  <tableStyleInfo name="Seledynowy"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96B082B-0584-4290-9233-B3D87795DA5C}" name="Tabela2467" displayName="Tabela2467" ref="B16:J27" totalsRowShown="0" headerRowDxfId="19">
  <autoFilter ref="B16:J27" xr:uid="{CD5D305F-E93F-4584-BE62-9666CF5C3AEC}"/>
  <tableColumns count="9">
    <tableColumn id="1" xr3:uid="{184799E6-4235-4057-A925-9397E34ED196}" name="OPIS WŁASNY" dataDxfId="18"/>
    <tableColumn id="2" xr3:uid="{AEE31D25-027F-4E5A-A2E0-32197C52B3C5}" name="WSPÓŁCZYNNIK _x000a_[1.0 - 2.0]" dataDxfId="17"/>
    <tableColumn id="3" xr3:uid="{37072171-9C35-4BB6-9B68-085C724DB7D0}" name="SZEROKOŚĆ _x000a_[CM]"/>
    <tableColumn id="4" xr3:uid="{30D2F525-8523-4E4B-871C-5208F53A5753}" name="WYSOKOŚĆ _x000a_[CM]"/>
    <tableColumn id="5" xr3:uid="{22DF2A48-D448-44A4-B07C-C2E49D632706}" name="GŁĘBOKOŚĆ _x000a_[CM]"/>
    <tableColumn id="6" xr3:uid="{429919B1-AA06-42E3-8A49-201DC8F30E8E}" name="ILOŚĆ _x000a_[SZT]" dataDxfId="16"/>
    <tableColumn id="7" xr3:uid="{E8C2F8C6-E959-4FB9-8C9F-61D97A2FDFBB}" name="OBJĘTOŚĆ _x000a_[CM^3]" dataDxfId="15">
      <calculatedColumnFormula>Tabela2467[[#This Row],[SZEROKOŚĆ 
'[CM']]]*Tabela2467[[#This Row],[WYSOKOŚĆ 
'[CM']]]*Tabela2467[[#This Row],[GŁĘBOKOŚĆ 
'[CM']]]</calculatedColumnFormula>
    </tableColumn>
    <tableColumn id="8" xr3:uid="{1E5F5CE1-3787-4CAE-85D7-CE612F6FF6A8}" name="OBJĘTOŚĆ _x000a_[M^3]" dataDxfId="14">
      <calculatedColumnFormula>Tabela2467[[#This Row],[OBJĘTOŚĆ 
'[CM^3']]]/1000000</calculatedColumnFormula>
    </tableColumn>
    <tableColumn id="9" xr3:uid="{A3E4571A-BFFA-4CA8-8836-786B0CF78874}" name="WYNIK " dataDxfId="13">
      <calculatedColumnFormula>Tabela2467[[#This Row],[WSPÓŁCZYNNIK 
'[1.0 - 2.0']]]*Tabela2467[[#This Row],[ILOŚĆ 
'[SZT']]]*Tabela2467[[#This Row],[OBJĘTOŚĆ 
'[M^3']]]</calculatedColumnFormula>
    </tableColumn>
  </tableColumns>
  <tableStyleInfo name="Seledynowy"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F2B9B9-66F6-4405-A092-E42C0512FBB4}" name="Tabela24672" displayName="Tabela24672" ref="B16:J27" totalsRowShown="0" headerRowDxfId="12">
  <autoFilter ref="B16:J27" xr:uid="{CD5D305F-E93F-4584-BE62-9666CF5C3AEC}"/>
  <tableColumns count="9">
    <tableColumn id="1" xr3:uid="{4FE3A72B-372A-405A-98FF-3D0F715D409E}" name="OPIS WŁASNY" dataDxfId="11"/>
    <tableColumn id="2" xr3:uid="{5DD7BCC0-3324-4193-85DA-B141401C2C6B}" name="WSPÓŁCZYNNIK _x000a_[1.0 - 2.0]" dataDxfId="10"/>
    <tableColumn id="3" xr3:uid="{3BBB9CEB-0733-4FAB-AD36-D15D8EFA69CD}" name="SZEROKOŚĆ _x000a_[CM]"/>
    <tableColumn id="4" xr3:uid="{8ECE2C01-3CD6-450E-97A9-AA07CD637A3D}" name="WYSOKOŚĆ _x000a_[CM]"/>
    <tableColumn id="5" xr3:uid="{4D8F9BFF-CF8D-4B44-BA12-F8EB463E7971}" name="GŁĘBOKOŚĆ _x000a_[CM]"/>
    <tableColumn id="6" xr3:uid="{02B62451-F726-45CB-99A7-B1F15348314E}" name="ILOŚĆ _x000a_[SZT]" dataDxfId="9"/>
    <tableColumn id="7" xr3:uid="{45D45A2E-209F-4BE5-8764-3DA5AC8FD782}" name="OBJĘTOŚĆ _x000a_[CM^3]" dataDxfId="8">
      <calculatedColumnFormula>Tabela24672[[#This Row],[SZEROKOŚĆ 
'[CM']]]*Tabela24672[[#This Row],[WYSOKOŚĆ 
'[CM']]]*Tabela24672[[#This Row],[GŁĘBOKOŚĆ 
'[CM']]]</calculatedColumnFormula>
    </tableColumn>
    <tableColumn id="8" xr3:uid="{64209FC6-7B58-40A1-90AB-AAC894AE47E7}" name="OBJĘTOŚĆ _x000a_[M^3]" dataDxfId="7">
      <calculatedColumnFormula>Tabela24672[[#This Row],[OBJĘTOŚĆ 
'[CM^3']]]/1000000</calculatedColumnFormula>
    </tableColumn>
    <tableColumn id="9" xr3:uid="{A927438A-83F4-4A70-98FF-253577755EB0}" name="WYNIK " dataDxfId="6">
      <calculatedColumnFormula>Tabela24672[[#This Row],[WSPÓŁCZYNNIK 
'[1.0 - 2.0']]]*Tabela24672[[#This Row],[ILOŚĆ 
'[SZT']]]*Tabela24672[[#This Row],[OBJĘTOŚĆ 
'[M^3']]]</calculatedColumnFormula>
    </tableColumn>
  </tableColumns>
  <tableStyleInfo name="Seledynowy"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5B3BD-5C8D-43B7-A43C-ADB2617640D0}">
  <sheetPr>
    <pageSetUpPr fitToPage="1"/>
  </sheetPr>
  <dimension ref="A1:O35"/>
  <sheetViews>
    <sheetView tabSelected="1" zoomScale="120" zoomScaleNormal="120" workbookViewId="0">
      <selection activeCell="G31" sqref="G31"/>
    </sheetView>
  </sheetViews>
  <sheetFormatPr defaultRowHeight="15" x14ac:dyDescent="0.25"/>
  <cols>
    <col min="1" max="1" width="4.7109375" customWidth="1"/>
    <col min="2" max="2" width="30.28515625" customWidth="1"/>
    <col min="3" max="10" width="12.7109375" customWidth="1"/>
    <col min="11" max="11" width="4.7109375" customWidth="1"/>
  </cols>
  <sheetData>
    <row r="1" spans="1:15" x14ac:dyDescent="0.25">
      <c r="A1" s="19"/>
      <c r="B1" s="19"/>
      <c r="C1" s="19"/>
      <c r="D1" s="19"/>
      <c r="E1" s="19"/>
      <c r="F1" s="19"/>
      <c r="G1" s="19"/>
      <c r="H1" s="19"/>
      <c r="I1" s="19"/>
      <c r="J1" s="19"/>
      <c r="K1" s="19"/>
    </row>
    <row r="2" spans="1:15" ht="27" customHeight="1" x14ac:dyDescent="0.25">
      <c r="A2" s="19"/>
      <c r="B2" s="108"/>
      <c r="C2" s="111" t="s">
        <v>0</v>
      </c>
      <c r="D2" s="111"/>
      <c r="E2" s="112" t="s">
        <v>107</v>
      </c>
      <c r="F2" s="112"/>
      <c r="G2" s="112"/>
      <c r="H2" s="112"/>
      <c r="I2" s="112"/>
      <c r="J2" s="112"/>
      <c r="K2" s="19"/>
    </row>
    <row r="3" spans="1:15" ht="27" customHeight="1" x14ac:dyDescent="0.25">
      <c r="A3" s="19"/>
      <c r="B3" s="109"/>
      <c r="C3" s="111"/>
      <c r="D3" s="111"/>
      <c r="E3" s="113"/>
      <c r="F3" s="113"/>
      <c r="G3" s="113"/>
      <c r="H3" s="113"/>
      <c r="I3" s="113"/>
      <c r="J3" s="113"/>
      <c r="K3" s="19"/>
    </row>
    <row r="4" spans="1:15" ht="27" customHeight="1" x14ac:dyDescent="0.25">
      <c r="A4" s="19"/>
      <c r="B4" s="110"/>
      <c r="C4" s="111"/>
      <c r="D4" s="111"/>
      <c r="E4" s="114"/>
      <c r="F4" s="114"/>
      <c r="G4" s="114"/>
      <c r="H4" s="114"/>
      <c r="I4" s="114"/>
      <c r="J4" s="114"/>
      <c r="K4" s="19"/>
    </row>
    <row r="5" spans="1:15" ht="27" customHeight="1" x14ac:dyDescent="0.25">
      <c r="A5" s="19"/>
      <c r="B5" s="115" t="s">
        <v>4</v>
      </c>
      <c r="C5" s="115" t="s">
        <v>5</v>
      </c>
      <c r="D5" s="115"/>
      <c r="E5" s="115"/>
      <c r="F5" s="8" t="str">
        <f>IF(AND(F8="NIE",F9="NIE",F10="NIE"),"WARIANT 0",IF(AND(F8="TAK",F9="NIE",F10="NIE"),"WARIANT 1",IF(AND(F8="NIE",F9="TAK",F10="NIE"),"WARIANT 2",IF(AND(F8="NIE",F9="NIE",F10="TAK"),"WARIANT 3",IF(AND(F8="TAK",F9="TAK",F10="NIE"),"WARIANT 4",IF(AND(F8="TAK",F9="NIE",F10="TAK"),"WARIANT 5",IF(AND(F8="NIE",F9="TAK",F10="TAK"),"WARIANT 6","WARIANT 7")))))))</f>
        <v>WARIANT 4</v>
      </c>
      <c r="G5" s="115" t="s">
        <v>8</v>
      </c>
      <c r="H5" s="115"/>
      <c r="I5" s="115"/>
      <c r="J5" s="115"/>
      <c r="K5" s="19"/>
    </row>
    <row r="6" spans="1:15" ht="27" customHeight="1" x14ac:dyDescent="0.25">
      <c r="A6" s="19"/>
      <c r="B6" s="115"/>
      <c r="C6" s="115"/>
      <c r="D6" s="115"/>
      <c r="E6" s="115"/>
      <c r="F6" s="121" t="s">
        <v>28</v>
      </c>
      <c r="G6" s="120" t="s">
        <v>15</v>
      </c>
      <c r="H6" s="120"/>
      <c r="I6" s="120" t="s">
        <v>16</v>
      </c>
      <c r="J6" s="120"/>
      <c r="K6" s="19"/>
    </row>
    <row r="7" spans="1:15" ht="27" customHeight="1" x14ac:dyDescent="0.25">
      <c r="A7" s="19"/>
      <c r="B7" s="115"/>
      <c r="C7" s="115"/>
      <c r="D7" s="115"/>
      <c r="E7" s="115"/>
      <c r="F7" s="121"/>
      <c r="G7" s="23" t="s">
        <v>17</v>
      </c>
      <c r="H7" s="23" t="s">
        <v>18</v>
      </c>
      <c r="I7" s="23" t="s">
        <v>17</v>
      </c>
      <c r="J7" s="23" t="s">
        <v>18</v>
      </c>
      <c r="K7" s="19"/>
    </row>
    <row r="8" spans="1:15" ht="69.95" customHeight="1" x14ac:dyDescent="0.25">
      <c r="A8" s="19"/>
      <c r="B8" s="9" t="s">
        <v>1</v>
      </c>
      <c r="C8" s="119" t="s">
        <v>12</v>
      </c>
      <c r="D8" s="119"/>
      <c r="E8" s="119"/>
      <c r="F8" s="12" t="s">
        <v>9</v>
      </c>
      <c r="G8" s="13">
        <v>40</v>
      </c>
      <c r="H8" s="14">
        <v>49.2</v>
      </c>
      <c r="I8" s="14">
        <v>30</v>
      </c>
      <c r="J8" s="14">
        <v>36.9</v>
      </c>
      <c r="K8" s="19"/>
    </row>
    <row r="9" spans="1:15" ht="69.95" customHeight="1" x14ac:dyDescent="0.25">
      <c r="A9" s="19"/>
      <c r="B9" s="9" t="s">
        <v>2</v>
      </c>
      <c r="C9" s="119" t="s">
        <v>6</v>
      </c>
      <c r="D9" s="119"/>
      <c r="E9" s="119"/>
      <c r="F9" s="12" t="s">
        <v>9</v>
      </c>
      <c r="G9" s="13">
        <v>105</v>
      </c>
      <c r="H9" s="14">
        <v>129.15</v>
      </c>
      <c r="I9" s="14">
        <v>80</v>
      </c>
      <c r="J9" s="14">
        <v>98.4</v>
      </c>
      <c r="K9" s="19"/>
    </row>
    <row r="10" spans="1:15" ht="69.95" customHeight="1" x14ac:dyDescent="0.25">
      <c r="A10" s="19"/>
      <c r="B10" s="9" t="s">
        <v>3</v>
      </c>
      <c r="C10" s="119" t="s">
        <v>7</v>
      </c>
      <c r="D10" s="119"/>
      <c r="E10" s="119"/>
      <c r="F10" s="12" t="s">
        <v>10</v>
      </c>
      <c r="G10" s="15">
        <v>40</v>
      </c>
      <c r="H10" s="16">
        <v>49.2</v>
      </c>
      <c r="I10" s="16">
        <v>30</v>
      </c>
      <c r="J10" s="16">
        <v>36.9</v>
      </c>
      <c r="K10" s="19"/>
    </row>
    <row r="11" spans="1:15" ht="69.95" customHeight="1" x14ac:dyDescent="0.25">
      <c r="A11" s="19"/>
      <c r="B11" s="9" t="s">
        <v>11</v>
      </c>
      <c r="C11" s="119" t="s">
        <v>13</v>
      </c>
      <c r="D11" s="119"/>
      <c r="E11" s="119"/>
      <c r="F11" s="45">
        <f>SUM(Tabela2[[WYNIK ]])</f>
        <v>0</v>
      </c>
      <c r="G11" s="10">
        <f>$F$11*IF($F$5="WARIANT 1",G8,IF($F$5="WARIANT 2",G9,IF($F$5="WARIANT 3",G10,0)))</f>
        <v>0</v>
      </c>
      <c r="H11" s="11">
        <f>$F$11*IF($F$5="WARIANT 1",H8,IF($F$5="WARIANT 2",H9,IF($F$5="WARIANT 3",H10,0)))</f>
        <v>0</v>
      </c>
      <c r="I11" s="11">
        <f>$F$11*IF($F$5="WARIANT 4",I8+I9,IF($F$5="WARIANT 5",I8+I10,IF($F$5="WARIANT 6",I9+I10,IF(F5="WARIANT 7",I8+I9+I10,0))))</f>
        <v>0</v>
      </c>
      <c r="J11" s="11">
        <f>$F$11*IF($F$5="WARIANT 4",J8+J9,IF($F$5="WARIANT 5",J8+J10,IF($F$5="WARIANT 6",J9+J10,IF(F5="WARIANT 7",J8+J9+J10,0))))</f>
        <v>0</v>
      </c>
      <c r="K11" s="19"/>
      <c r="O11" s="1"/>
    </row>
    <row r="12" spans="1:15" ht="15" customHeight="1" x14ac:dyDescent="0.25">
      <c r="A12" s="19"/>
      <c r="B12" s="116"/>
      <c r="C12" s="117"/>
      <c r="D12" s="117"/>
      <c r="E12" s="117"/>
      <c r="F12" s="117"/>
      <c r="G12" s="117"/>
      <c r="H12" s="117"/>
      <c r="I12" s="117"/>
      <c r="J12" s="118"/>
      <c r="K12" s="19"/>
      <c r="O12" s="1"/>
    </row>
    <row r="13" spans="1:15" ht="30" customHeight="1" x14ac:dyDescent="0.25">
      <c r="A13" s="19"/>
      <c r="B13" s="2" t="s">
        <v>14</v>
      </c>
      <c r="C13" s="4" t="s">
        <v>20</v>
      </c>
      <c r="D13" s="5" t="s">
        <v>22</v>
      </c>
      <c r="E13" s="5" t="s">
        <v>19</v>
      </c>
      <c r="F13" s="5" t="s">
        <v>23</v>
      </c>
      <c r="G13" s="5" t="s">
        <v>21</v>
      </c>
      <c r="H13" s="5" t="s">
        <v>24</v>
      </c>
      <c r="I13" s="5" t="s">
        <v>25</v>
      </c>
      <c r="J13" s="5" t="s">
        <v>29</v>
      </c>
      <c r="K13" s="19"/>
    </row>
    <row r="14" spans="1:15" x14ac:dyDescent="0.25">
      <c r="A14" s="19"/>
      <c r="B14" s="33" t="s">
        <v>26</v>
      </c>
      <c r="C14" s="6">
        <v>1</v>
      </c>
      <c r="D14">
        <v>0</v>
      </c>
      <c r="E14">
        <v>0</v>
      </c>
      <c r="F14">
        <v>0</v>
      </c>
      <c r="G14" s="37">
        <v>1</v>
      </c>
      <c r="H14" s="38">
        <f>Tabela2[[#This Row],[SZEROKOŚĆ 
'[CM']]]*Tabela2[[#This Row],[WYSOKOŚĆ 
'[CM']]]*Tabela2[[#This Row],[GŁĘBOKOŚĆ 
'[CM']]]</f>
        <v>0</v>
      </c>
      <c r="I14" s="38">
        <f>Tabela2[[#This Row],[OBJĘTOŚĆ 
'[CM^3']]]/1000000</f>
        <v>0</v>
      </c>
      <c r="J14" s="39">
        <f>Tabela2[[#This Row],[WSPÓŁCZYNNIK 
'[1.0 - 2.0']]]*Tabela2[[#This Row],[ILOŚĆ 
'[SZT']]]*Tabela2[[#This Row],[OBJĘTOŚĆ 
'[M^3']]]</f>
        <v>0</v>
      </c>
      <c r="K14" s="19"/>
    </row>
    <row r="15" spans="1:15" x14ac:dyDescent="0.25">
      <c r="A15" s="19"/>
      <c r="B15" s="34" t="s">
        <v>27</v>
      </c>
      <c r="C15" s="6"/>
      <c r="G15" s="40">
        <v>1</v>
      </c>
      <c r="H15">
        <f>Tabela2[[#This Row],[SZEROKOŚĆ 
'[CM']]]*Tabela2[[#This Row],[WYSOKOŚĆ 
'[CM']]]*Tabela2[[#This Row],[GŁĘBOKOŚĆ 
'[CM']]]</f>
        <v>0</v>
      </c>
      <c r="I15">
        <f>Tabela2[[#This Row],[OBJĘTOŚĆ 
'[CM^3']]]/1000000</f>
        <v>0</v>
      </c>
      <c r="J15" s="41">
        <f>Tabela2[[#This Row],[WSPÓŁCZYNNIK 
'[1.0 - 2.0']]]*Tabela2[[#This Row],[ILOŚĆ 
'[SZT']]]*Tabela2[[#This Row],[OBJĘTOŚĆ 
'[M^3']]]</f>
        <v>0</v>
      </c>
      <c r="K15" s="19"/>
    </row>
    <row r="16" spans="1:15" x14ac:dyDescent="0.25">
      <c r="A16" s="19"/>
      <c r="B16" s="35"/>
      <c r="C16" s="7"/>
      <c r="D16" s="3"/>
      <c r="E16" s="3"/>
      <c r="G16" s="40">
        <v>1</v>
      </c>
      <c r="H16">
        <f>Tabela2[[#This Row],[SZEROKOŚĆ 
'[CM']]]*Tabela2[[#This Row],[WYSOKOŚĆ 
'[CM']]]*Tabela2[[#This Row],[GŁĘBOKOŚĆ 
'[CM']]]</f>
        <v>0</v>
      </c>
      <c r="I16">
        <f>Tabela2[[#This Row],[OBJĘTOŚĆ 
'[CM^3']]]/1000000</f>
        <v>0</v>
      </c>
      <c r="J16" s="41">
        <f>Tabela2[[#This Row],[WSPÓŁCZYNNIK 
'[1.0 - 2.0']]]*Tabela2[[#This Row],[ILOŚĆ 
'[SZT']]]*Tabela2[[#This Row],[OBJĘTOŚĆ 
'[M^3']]]</f>
        <v>0</v>
      </c>
      <c r="K16" s="19"/>
    </row>
    <row r="17" spans="1:15" x14ac:dyDescent="0.25">
      <c r="A17" s="19"/>
      <c r="B17" s="34"/>
      <c r="C17" s="6"/>
      <c r="G17" s="40">
        <v>1</v>
      </c>
      <c r="H17">
        <f>Tabela2[[#This Row],[SZEROKOŚĆ 
'[CM']]]*Tabela2[[#This Row],[WYSOKOŚĆ 
'[CM']]]*Tabela2[[#This Row],[GŁĘBOKOŚĆ 
'[CM']]]</f>
        <v>0</v>
      </c>
      <c r="I17">
        <f>Tabela2[[#This Row],[OBJĘTOŚĆ 
'[CM^3']]]/1000000</f>
        <v>0</v>
      </c>
      <c r="J17" s="41">
        <f>Tabela2[[#This Row],[WSPÓŁCZYNNIK 
'[1.0 - 2.0']]]*Tabela2[[#This Row],[ILOŚĆ 
'[SZT']]]*Tabela2[[#This Row],[OBJĘTOŚĆ 
'[M^3']]]</f>
        <v>0</v>
      </c>
      <c r="K17" s="19"/>
    </row>
    <row r="18" spans="1:15" x14ac:dyDescent="0.25">
      <c r="A18" s="19"/>
      <c r="B18" s="34"/>
      <c r="C18" s="6"/>
      <c r="G18" s="40">
        <v>1</v>
      </c>
      <c r="H18">
        <f>Tabela2[[#This Row],[SZEROKOŚĆ 
'[CM']]]*Tabela2[[#This Row],[WYSOKOŚĆ 
'[CM']]]*Tabela2[[#This Row],[GŁĘBOKOŚĆ 
'[CM']]]</f>
        <v>0</v>
      </c>
      <c r="I18">
        <f>Tabela2[[#This Row],[OBJĘTOŚĆ 
'[CM^3']]]/1000000</f>
        <v>0</v>
      </c>
      <c r="J18" s="41">
        <f>Tabela2[[#This Row],[WSPÓŁCZYNNIK 
'[1.0 - 2.0']]]*Tabela2[[#This Row],[ILOŚĆ 
'[SZT']]]*Tabela2[[#This Row],[OBJĘTOŚĆ 
'[M^3']]]</f>
        <v>0</v>
      </c>
      <c r="K18" s="19"/>
    </row>
    <row r="19" spans="1:15" x14ac:dyDescent="0.25">
      <c r="A19" s="19"/>
      <c r="B19" s="34"/>
      <c r="C19" s="6"/>
      <c r="G19" s="40">
        <v>1</v>
      </c>
      <c r="H19">
        <f>Tabela2[[#This Row],[SZEROKOŚĆ 
'[CM']]]*Tabela2[[#This Row],[WYSOKOŚĆ 
'[CM']]]*Tabela2[[#This Row],[GŁĘBOKOŚĆ 
'[CM']]]</f>
        <v>0</v>
      </c>
      <c r="I19">
        <f>Tabela2[[#This Row],[OBJĘTOŚĆ 
'[CM^3']]]/1000000</f>
        <v>0</v>
      </c>
      <c r="J19" s="41">
        <f>Tabela2[[#This Row],[WSPÓŁCZYNNIK 
'[1.0 - 2.0']]]*Tabela2[[#This Row],[ILOŚĆ 
'[SZT']]]*Tabela2[[#This Row],[OBJĘTOŚĆ 
'[M^3']]]</f>
        <v>0</v>
      </c>
      <c r="K19" s="19"/>
    </row>
    <row r="20" spans="1:15" x14ac:dyDescent="0.25">
      <c r="A20" s="19"/>
      <c r="B20" s="34"/>
      <c r="C20" s="6"/>
      <c r="G20" s="40">
        <v>1</v>
      </c>
      <c r="H20">
        <f>Tabela2[[#This Row],[SZEROKOŚĆ 
'[CM']]]*Tabela2[[#This Row],[WYSOKOŚĆ 
'[CM']]]*Tabela2[[#This Row],[GŁĘBOKOŚĆ 
'[CM']]]</f>
        <v>0</v>
      </c>
      <c r="I20">
        <f>Tabela2[[#This Row],[OBJĘTOŚĆ 
'[CM^3']]]/1000000</f>
        <v>0</v>
      </c>
      <c r="J20" s="41">
        <f>Tabela2[[#This Row],[WSPÓŁCZYNNIK 
'[1.0 - 2.0']]]*Tabela2[[#This Row],[ILOŚĆ 
'[SZT']]]*Tabela2[[#This Row],[OBJĘTOŚĆ 
'[M^3']]]</f>
        <v>0</v>
      </c>
      <c r="K20" s="19"/>
    </row>
    <row r="21" spans="1:15" x14ac:dyDescent="0.25">
      <c r="A21" s="19"/>
      <c r="B21" s="34"/>
      <c r="C21" s="6"/>
      <c r="G21" s="40">
        <v>1</v>
      </c>
      <c r="H21">
        <f>Tabela2[[#This Row],[SZEROKOŚĆ 
'[CM']]]*Tabela2[[#This Row],[WYSOKOŚĆ 
'[CM']]]*Tabela2[[#This Row],[GŁĘBOKOŚĆ 
'[CM']]]</f>
        <v>0</v>
      </c>
      <c r="I21">
        <f>Tabela2[[#This Row],[OBJĘTOŚĆ 
'[CM^3']]]/1000000</f>
        <v>0</v>
      </c>
      <c r="J21" s="41">
        <f>Tabela2[[#This Row],[WSPÓŁCZYNNIK 
'[1.0 - 2.0']]]*Tabela2[[#This Row],[ILOŚĆ 
'[SZT']]]*Tabela2[[#This Row],[OBJĘTOŚĆ 
'[M^3']]]</f>
        <v>0</v>
      </c>
      <c r="K21" s="19"/>
    </row>
    <row r="22" spans="1:15" x14ac:dyDescent="0.25">
      <c r="A22" s="19"/>
      <c r="B22" s="34"/>
      <c r="C22" s="6"/>
      <c r="G22" s="40">
        <v>1</v>
      </c>
      <c r="H22">
        <f>Tabela2[[#This Row],[SZEROKOŚĆ 
'[CM']]]*Tabela2[[#This Row],[WYSOKOŚĆ 
'[CM']]]*Tabela2[[#This Row],[GŁĘBOKOŚĆ 
'[CM']]]</f>
        <v>0</v>
      </c>
      <c r="I22">
        <f>Tabela2[[#This Row],[OBJĘTOŚĆ 
'[CM^3']]]/1000000</f>
        <v>0</v>
      </c>
      <c r="J22" s="41">
        <f>Tabela2[[#This Row],[WSPÓŁCZYNNIK 
'[1.0 - 2.0']]]*Tabela2[[#This Row],[ILOŚĆ 
'[SZT']]]*Tabela2[[#This Row],[OBJĘTOŚĆ 
'[M^3']]]</f>
        <v>0</v>
      </c>
      <c r="K22" s="19"/>
    </row>
    <row r="23" spans="1:15" x14ac:dyDescent="0.25">
      <c r="A23" s="19"/>
      <c r="B23" s="34"/>
      <c r="C23" s="6"/>
      <c r="G23" s="40">
        <v>1</v>
      </c>
      <c r="H23">
        <f>Tabela2[[#This Row],[SZEROKOŚĆ 
'[CM']]]*Tabela2[[#This Row],[WYSOKOŚĆ 
'[CM']]]*Tabela2[[#This Row],[GŁĘBOKOŚĆ 
'[CM']]]</f>
        <v>0</v>
      </c>
      <c r="I23">
        <f>Tabela2[[#This Row],[OBJĘTOŚĆ 
'[CM^3']]]/1000000</f>
        <v>0</v>
      </c>
      <c r="J23" s="41">
        <f>Tabela2[[#This Row],[WSPÓŁCZYNNIK 
'[1.0 - 2.0']]]*Tabela2[[#This Row],[ILOŚĆ 
'[SZT']]]*Tabela2[[#This Row],[OBJĘTOŚĆ 
'[M^3']]]</f>
        <v>0</v>
      </c>
      <c r="K23" s="19"/>
    </row>
    <row r="24" spans="1:15" x14ac:dyDescent="0.25">
      <c r="A24" s="19"/>
      <c r="B24" s="36"/>
      <c r="C24" s="6"/>
      <c r="G24" s="42">
        <v>1</v>
      </c>
      <c r="H24" s="43">
        <f>Tabela2[[#This Row],[SZEROKOŚĆ 
'[CM']]]*Tabela2[[#This Row],[WYSOKOŚĆ 
'[CM']]]*Tabela2[[#This Row],[GŁĘBOKOŚĆ 
'[CM']]]</f>
        <v>0</v>
      </c>
      <c r="I24" s="43">
        <f>Tabela2[[#This Row],[OBJĘTOŚĆ 
'[CM^3']]]/1000000</f>
        <v>0</v>
      </c>
      <c r="J24" s="44">
        <f>Tabela2[[#This Row],[WSPÓŁCZYNNIK 
'[1.0 - 2.0']]]*Tabela2[[#This Row],[ILOŚĆ 
'[SZT']]]*Tabela2[[#This Row],[OBJĘTOŚĆ 
'[M^3']]]</f>
        <v>0</v>
      </c>
      <c r="K24" s="19"/>
    </row>
    <row r="25" spans="1:15" ht="15" customHeight="1" x14ac:dyDescent="0.25">
      <c r="A25" s="19"/>
      <c r="B25" s="19"/>
      <c r="C25" s="19"/>
      <c r="D25" s="19"/>
      <c r="E25" s="19"/>
      <c r="F25" s="19"/>
      <c r="G25" s="19"/>
      <c r="H25" s="19"/>
      <c r="I25" s="19"/>
      <c r="J25" s="19"/>
      <c r="K25" s="19"/>
    </row>
    <row r="26" spans="1:15" ht="54" customHeight="1" x14ac:dyDescent="0.25">
      <c r="A26" s="19"/>
      <c r="B26" s="23" t="s">
        <v>35</v>
      </c>
      <c r="C26" s="134" t="s">
        <v>5</v>
      </c>
      <c r="D26" s="134"/>
      <c r="E26" s="134"/>
      <c r="F26" s="24" t="s">
        <v>28</v>
      </c>
      <c r="G26" s="124" t="s">
        <v>40</v>
      </c>
      <c r="H26" s="124"/>
      <c r="I26" s="124" t="s">
        <v>32</v>
      </c>
      <c r="J26" s="124"/>
      <c r="K26" s="19"/>
    </row>
    <row r="27" spans="1:15" ht="69.95" customHeight="1" x14ac:dyDescent="0.25">
      <c r="A27" s="19"/>
      <c r="B27" s="126" t="s">
        <v>30</v>
      </c>
      <c r="C27" s="135" t="s">
        <v>41</v>
      </c>
      <c r="D27" s="136"/>
      <c r="E27" s="137"/>
      <c r="F27" s="12" t="s">
        <v>10</v>
      </c>
      <c r="G27" s="125">
        <v>100</v>
      </c>
      <c r="H27" s="125"/>
      <c r="I27" s="123"/>
      <c r="J27" s="123"/>
      <c r="K27" s="19"/>
      <c r="O27" s="1"/>
    </row>
    <row r="28" spans="1:15" ht="27" customHeight="1" x14ac:dyDescent="0.25">
      <c r="A28" s="19"/>
      <c r="B28" s="127"/>
      <c r="C28" s="138"/>
      <c r="D28" s="139"/>
      <c r="E28" s="140"/>
      <c r="F28" s="141" t="s">
        <v>33</v>
      </c>
      <c r="G28" s="142" t="s">
        <v>36</v>
      </c>
      <c r="H28" s="142"/>
      <c r="I28" s="124" t="s">
        <v>34</v>
      </c>
      <c r="J28" s="124"/>
      <c r="K28" s="19"/>
      <c r="O28" s="1"/>
    </row>
    <row r="29" spans="1:15" ht="27" customHeight="1" x14ac:dyDescent="0.25">
      <c r="A29" s="19"/>
      <c r="B29" s="126" t="s">
        <v>31</v>
      </c>
      <c r="C29" s="128" t="s">
        <v>42</v>
      </c>
      <c r="D29" s="129"/>
      <c r="E29" s="130"/>
      <c r="F29" s="141"/>
      <c r="G29" s="142"/>
      <c r="H29" s="142"/>
      <c r="I29" s="25" t="s">
        <v>17</v>
      </c>
      <c r="J29" s="25" t="s">
        <v>18</v>
      </c>
      <c r="K29" s="19"/>
      <c r="O29" s="1"/>
    </row>
    <row r="30" spans="1:15" ht="69.95" customHeight="1" x14ac:dyDescent="0.25">
      <c r="A30" s="19"/>
      <c r="B30" s="127"/>
      <c r="C30" s="131"/>
      <c r="D30" s="132"/>
      <c r="E30" s="133"/>
      <c r="F30" s="32">
        <f>SUM(Tabela2[WSPÓŁCZYNNIK 
'[1.0 - 2.0']])</f>
        <v>1</v>
      </c>
      <c r="G30" s="122">
        <v>2.2999999999999998</v>
      </c>
      <c r="H30" s="122"/>
      <c r="I30" s="11">
        <f>IF(F27="TAK",(G27*F30+I27*G30),0)</f>
        <v>0</v>
      </c>
      <c r="J30" s="11">
        <f>I30*1.23</f>
        <v>0</v>
      </c>
      <c r="K30" s="19"/>
      <c r="O30" s="1"/>
    </row>
    <row r="31" spans="1:15" ht="15" customHeight="1" x14ac:dyDescent="0.25">
      <c r="A31" s="19"/>
      <c r="B31" s="26"/>
      <c r="C31" s="27"/>
      <c r="D31" s="27"/>
      <c r="E31" s="27"/>
      <c r="F31" s="28"/>
      <c r="G31" s="29"/>
      <c r="H31" s="29"/>
      <c r="I31" s="21"/>
      <c r="J31" s="22"/>
      <c r="K31" s="19"/>
      <c r="O31" s="1"/>
    </row>
    <row r="32" spans="1:15" ht="27" customHeight="1" x14ac:dyDescent="0.25">
      <c r="A32" s="19"/>
      <c r="B32" s="143" t="s">
        <v>39</v>
      </c>
      <c r="C32" s="121" t="s">
        <v>37</v>
      </c>
      <c r="D32" s="121"/>
      <c r="E32" s="121" t="s">
        <v>35</v>
      </c>
      <c r="F32" s="121"/>
      <c r="G32" s="124" t="s">
        <v>38</v>
      </c>
      <c r="H32" s="124"/>
      <c r="I32" s="124"/>
      <c r="J32" s="124"/>
      <c r="K32" s="19"/>
      <c r="O32" s="1"/>
    </row>
    <row r="33" spans="1:15" ht="27" customHeight="1" x14ac:dyDescent="0.25">
      <c r="A33" s="19"/>
      <c r="B33" s="144"/>
      <c r="C33" s="25" t="s">
        <v>17</v>
      </c>
      <c r="D33" s="25" t="s">
        <v>18</v>
      </c>
      <c r="E33" s="25" t="s">
        <v>17</v>
      </c>
      <c r="F33" s="25" t="s">
        <v>18</v>
      </c>
      <c r="G33" s="124" t="s">
        <v>17</v>
      </c>
      <c r="H33" s="124"/>
      <c r="I33" s="150" t="s">
        <v>18</v>
      </c>
      <c r="J33" s="150"/>
      <c r="K33" s="19"/>
      <c r="O33" s="1"/>
    </row>
    <row r="34" spans="1:15" ht="27" customHeight="1" x14ac:dyDescent="0.25">
      <c r="A34" s="19"/>
      <c r="B34" s="145"/>
      <c r="C34" s="31">
        <f>G11+I11</f>
        <v>0</v>
      </c>
      <c r="D34" s="31">
        <f>H11+J11</f>
        <v>0</v>
      </c>
      <c r="E34" s="31">
        <f>IF(F27="TAK",(G27*F30+I27*G30),0)</f>
        <v>0</v>
      </c>
      <c r="F34" s="30">
        <f>I30*1.23</f>
        <v>0</v>
      </c>
      <c r="G34" s="146">
        <f>C34+E34</f>
        <v>0</v>
      </c>
      <c r="H34" s="147"/>
      <c r="I34" s="148">
        <f>D34+F34</f>
        <v>0</v>
      </c>
      <c r="J34" s="149"/>
      <c r="K34" s="19"/>
      <c r="O34" s="1"/>
    </row>
    <row r="35" spans="1:15" x14ac:dyDescent="0.25">
      <c r="A35" s="19"/>
      <c r="B35" s="19"/>
      <c r="C35" s="19"/>
      <c r="D35" s="19"/>
      <c r="E35" s="19"/>
      <c r="F35" s="19"/>
      <c r="G35" s="19"/>
      <c r="H35" s="19"/>
      <c r="I35" s="19"/>
      <c r="J35" s="19"/>
      <c r="K35" s="19"/>
    </row>
  </sheetData>
  <mergeCells count="35">
    <mergeCell ref="B32:B34"/>
    <mergeCell ref="G34:H34"/>
    <mergeCell ref="I34:J34"/>
    <mergeCell ref="C32:D32"/>
    <mergeCell ref="E32:F32"/>
    <mergeCell ref="G33:H33"/>
    <mergeCell ref="I33:J33"/>
    <mergeCell ref="G32:J32"/>
    <mergeCell ref="G26:H26"/>
    <mergeCell ref="I26:J26"/>
    <mergeCell ref="C26:E26"/>
    <mergeCell ref="B27:B28"/>
    <mergeCell ref="C27:E28"/>
    <mergeCell ref="F28:F29"/>
    <mergeCell ref="G28:H29"/>
    <mergeCell ref="G30:H30"/>
    <mergeCell ref="I27:J27"/>
    <mergeCell ref="I28:J28"/>
    <mergeCell ref="G27:H27"/>
    <mergeCell ref="B29:B30"/>
    <mergeCell ref="C29:E30"/>
    <mergeCell ref="B12:J12"/>
    <mergeCell ref="C9:E9"/>
    <mergeCell ref="C10:E10"/>
    <mergeCell ref="G6:H6"/>
    <mergeCell ref="I6:J6"/>
    <mergeCell ref="F6:F7"/>
    <mergeCell ref="C11:E11"/>
    <mergeCell ref="C8:E8"/>
    <mergeCell ref="B2:B4"/>
    <mergeCell ref="C2:D4"/>
    <mergeCell ref="E2:J4"/>
    <mergeCell ref="B5:B7"/>
    <mergeCell ref="C5:E7"/>
    <mergeCell ref="G5:J5"/>
  </mergeCells>
  <conditionalFormatting sqref="C14:F24">
    <cfRule type="containsBlanks" dxfId="5" priority="1">
      <formula>LEN(TRIM(C14))=0</formula>
    </cfRule>
  </conditionalFormatting>
  <conditionalFormatting sqref="I27:J27">
    <cfRule type="containsBlanks" dxfId="4" priority="2">
      <formula>LEN(TRIM(I27))=0</formula>
    </cfRule>
  </conditionalFormatting>
  <dataValidations count="2">
    <dataValidation type="list" allowBlank="1" showInputMessage="1" showErrorMessage="1" sqref="F8:F10 F27" xr:uid="{D80C3589-C7E2-46BE-9E34-0A6D6789AA3F}">
      <formula1>"TAK,NIE"</formula1>
    </dataValidation>
    <dataValidation type="list" allowBlank="1" showInputMessage="1" showErrorMessage="1" sqref="C14:C24" xr:uid="{BA435F88-1624-4503-BF8C-3C6872DE90A9}">
      <mc:AlternateContent xmlns:x12ac="http://schemas.microsoft.com/office/spreadsheetml/2011/1/ac" xmlns:mc="http://schemas.openxmlformats.org/markup-compatibility/2006">
        <mc:Choice Requires="x12ac">
          <x12ac:list>"1,0","1,5","2,0"</x12ac:list>
        </mc:Choice>
        <mc:Fallback>
          <formula1>"1,0,1,5,2,0"</formula1>
        </mc:Fallback>
      </mc:AlternateContent>
    </dataValidation>
  </dataValidations>
  <pageMargins left="0.70866141732283472" right="0.70866141732283472" top="0.74803149606299213" bottom="0.74803149606299213" header="0.31496062992125984" footer="0.31496062992125984"/>
  <pageSetup paperSize="9" scale="92" fitToHeight="0" orientation="landscape" horizontalDpi="0" verticalDpi="0" r:id="rId1"/>
  <headerFooter>
    <oddFooter>&amp;R&amp;P</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26659-2C2E-40B9-80C2-9A2D9977EBD9}">
  <sheetPr>
    <pageSetUpPr fitToPage="1"/>
  </sheetPr>
  <dimension ref="A1:K58"/>
  <sheetViews>
    <sheetView zoomScale="130" zoomScaleNormal="130" workbookViewId="0">
      <selection activeCell="N31" sqref="N31"/>
    </sheetView>
  </sheetViews>
  <sheetFormatPr defaultRowHeight="15" x14ac:dyDescent="0.25"/>
  <cols>
    <col min="1" max="1" width="4.7109375" customWidth="1"/>
    <col min="2" max="2" width="30.28515625" customWidth="1"/>
    <col min="3" max="10" width="12.7109375" customWidth="1"/>
    <col min="11" max="11" width="4.7109375" customWidth="1"/>
  </cols>
  <sheetData>
    <row r="1" spans="1:11" x14ac:dyDescent="0.25">
      <c r="A1" s="19"/>
      <c r="B1" s="19"/>
      <c r="C1" s="19"/>
      <c r="D1" s="19"/>
      <c r="E1" s="19"/>
      <c r="F1" s="19"/>
      <c r="G1" s="19"/>
      <c r="H1" s="19"/>
      <c r="I1" s="19"/>
      <c r="J1" s="19"/>
      <c r="K1" s="19"/>
    </row>
    <row r="2" spans="1:11" ht="27" customHeight="1" x14ac:dyDescent="0.25">
      <c r="A2" s="19"/>
      <c r="B2" s="108"/>
      <c r="C2" s="111" t="s">
        <v>0</v>
      </c>
      <c r="D2" s="111"/>
      <c r="E2" s="164" t="s">
        <v>99</v>
      </c>
      <c r="F2" s="164"/>
      <c r="G2" s="164"/>
      <c r="H2" s="164"/>
      <c r="I2" s="164"/>
      <c r="J2" s="164"/>
      <c r="K2" s="19"/>
    </row>
    <row r="3" spans="1:11" ht="27" customHeight="1" x14ac:dyDescent="0.25">
      <c r="A3" s="19"/>
      <c r="B3" s="109"/>
      <c r="C3" s="111"/>
      <c r="D3" s="111"/>
      <c r="E3" s="165"/>
      <c r="F3" s="165"/>
      <c r="G3" s="165"/>
      <c r="H3" s="165"/>
      <c r="I3" s="165"/>
      <c r="J3" s="165"/>
      <c r="K3" s="19"/>
    </row>
    <row r="4" spans="1:11" ht="27" customHeight="1" x14ac:dyDescent="0.25">
      <c r="A4" s="19"/>
      <c r="B4" s="110"/>
      <c r="C4" s="111"/>
      <c r="D4" s="111"/>
      <c r="E4" s="166"/>
      <c r="F4" s="166"/>
      <c r="G4" s="166"/>
      <c r="H4" s="166"/>
      <c r="I4" s="166"/>
      <c r="J4" s="166"/>
      <c r="K4" s="19"/>
    </row>
    <row r="5" spans="1:11" ht="15" customHeight="1" x14ac:dyDescent="0.25">
      <c r="A5" s="19"/>
      <c r="B5" s="106"/>
      <c r="C5" s="105"/>
      <c r="D5" s="105"/>
      <c r="E5" s="107"/>
      <c r="F5" s="107"/>
      <c r="G5" s="107"/>
      <c r="H5" s="107"/>
      <c r="I5" s="107"/>
      <c r="J5" s="107"/>
      <c r="K5" s="19"/>
    </row>
    <row r="6" spans="1:11" ht="20.100000000000001" customHeight="1" x14ac:dyDescent="0.25">
      <c r="A6" s="19"/>
      <c r="B6" s="151" t="s">
        <v>63</v>
      </c>
      <c r="C6" s="152"/>
      <c r="D6" s="152"/>
      <c r="E6" s="152"/>
      <c r="F6" s="152"/>
      <c r="G6" s="152"/>
      <c r="H6" s="152"/>
      <c r="I6" s="152"/>
      <c r="J6" s="156"/>
      <c r="K6" s="19"/>
    </row>
    <row r="7" spans="1:11" ht="20.100000000000001" customHeight="1" x14ac:dyDescent="0.25">
      <c r="A7" s="19"/>
      <c r="B7" s="170" t="s">
        <v>53</v>
      </c>
      <c r="C7" s="170"/>
      <c r="D7" s="170"/>
      <c r="E7" s="170"/>
      <c r="F7" s="170" t="s">
        <v>54</v>
      </c>
      <c r="G7" s="170"/>
      <c r="H7" s="170"/>
      <c r="I7" s="170"/>
      <c r="J7" s="170"/>
      <c r="K7" s="19"/>
    </row>
    <row r="8" spans="1:11" ht="20.100000000000001" customHeight="1" x14ac:dyDescent="0.25">
      <c r="A8" s="19"/>
      <c r="B8" s="170" t="s">
        <v>52</v>
      </c>
      <c r="C8" s="170"/>
      <c r="D8" s="170" t="s">
        <v>49</v>
      </c>
      <c r="E8" s="170"/>
      <c r="F8" s="170" t="s">
        <v>58</v>
      </c>
      <c r="G8" s="170"/>
      <c r="H8" s="151" t="s">
        <v>49</v>
      </c>
      <c r="I8" s="152"/>
      <c r="J8" s="156"/>
      <c r="K8" s="19"/>
    </row>
    <row r="9" spans="1:11" ht="27" customHeight="1" x14ac:dyDescent="0.25">
      <c r="A9" s="19"/>
      <c r="B9" s="170"/>
      <c r="C9" s="170"/>
      <c r="D9" s="23" t="s">
        <v>17</v>
      </c>
      <c r="E9" s="18" t="s">
        <v>56</v>
      </c>
      <c r="F9" s="170"/>
      <c r="G9" s="170"/>
      <c r="H9" s="23" t="s">
        <v>17</v>
      </c>
      <c r="I9" s="18" t="s">
        <v>55</v>
      </c>
      <c r="J9" s="18" t="s">
        <v>56</v>
      </c>
      <c r="K9" s="19"/>
    </row>
    <row r="10" spans="1:11" ht="20.100000000000001" customHeight="1" x14ac:dyDescent="0.25">
      <c r="A10" s="19"/>
      <c r="B10" s="170" t="s">
        <v>47</v>
      </c>
      <c r="C10" s="170"/>
      <c r="D10" s="48">
        <v>631.07000000000005</v>
      </c>
      <c r="E10" s="48">
        <f>D10*1.23</f>
        <v>776.2161000000001</v>
      </c>
      <c r="F10" s="171" t="s">
        <v>59</v>
      </c>
      <c r="G10" s="171"/>
      <c r="H10" s="167">
        <v>12000</v>
      </c>
      <c r="I10" s="167">
        <f>H10*1.08</f>
        <v>12960</v>
      </c>
      <c r="J10" s="167">
        <f>H10*1.23</f>
        <v>14760</v>
      </c>
      <c r="K10" s="19"/>
    </row>
    <row r="11" spans="1:11" ht="20.100000000000001" customHeight="1" x14ac:dyDescent="0.25">
      <c r="A11" s="19"/>
      <c r="B11" s="170" t="s">
        <v>48</v>
      </c>
      <c r="C11" s="170"/>
      <c r="D11" s="48">
        <f>'1. Zabudowa - analiza'!I61</f>
        <v>5093.3344000000006</v>
      </c>
      <c r="E11" s="48">
        <f t="shared" ref="E11:E14" si="0">D11*1.23</f>
        <v>6264.8013120000005</v>
      </c>
      <c r="F11" s="171"/>
      <c r="G11" s="171"/>
      <c r="H11" s="168"/>
      <c r="I11" s="168"/>
      <c r="J11" s="168"/>
      <c r="K11" s="19"/>
    </row>
    <row r="12" spans="1:11" ht="20.100000000000001" customHeight="1" x14ac:dyDescent="0.25">
      <c r="A12" s="19"/>
      <c r="B12" s="170" t="s">
        <v>50</v>
      </c>
      <c r="C12" s="170"/>
      <c r="D12" s="49">
        <v>300</v>
      </c>
      <c r="E12" s="48">
        <f t="shared" si="0"/>
        <v>369</v>
      </c>
      <c r="F12" s="171"/>
      <c r="G12" s="171"/>
      <c r="H12" s="168"/>
      <c r="I12" s="168"/>
      <c r="J12" s="168"/>
      <c r="K12" s="19"/>
    </row>
    <row r="13" spans="1:11" ht="20.100000000000001" customHeight="1" x14ac:dyDescent="0.25">
      <c r="A13" s="19"/>
      <c r="B13" s="170" t="s">
        <v>51</v>
      </c>
      <c r="C13" s="170"/>
      <c r="D13" s="49">
        <v>2400</v>
      </c>
      <c r="E13" s="48">
        <f t="shared" si="0"/>
        <v>2952</v>
      </c>
      <c r="F13" s="171"/>
      <c r="G13" s="171"/>
      <c r="H13" s="168"/>
      <c r="I13" s="168"/>
      <c r="J13" s="168"/>
      <c r="K13" s="19"/>
    </row>
    <row r="14" spans="1:11" ht="20.100000000000001" customHeight="1" x14ac:dyDescent="0.25">
      <c r="A14" s="19"/>
      <c r="B14" s="170" t="s">
        <v>57</v>
      </c>
      <c r="C14" s="170"/>
      <c r="D14" s="50">
        <f>SUM(D10:D13)</f>
        <v>8424.4043999999994</v>
      </c>
      <c r="E14" s="54">
        <f t="shared" si="0"/>
        <v>10362.017411999999</v>
      </c>
      <c r="F14" s="171"/>
      <c r="G14" s="171"/>
      <c r="H14" s="169"/>
      <c r="I14" s="169"/>
      <c r="J14" s="169"/>
      <c r="K14" s="19"/>
    </row>
    <row r="15" spans="1:11" ht="20.100000000000001" customHeight="1" x14ac:dyDescent="0.25">
      <c r="A15" s="19"/>
      <c r="B15" s="151" t="s">
        <v>60</v>
      </c>
      <c r="C15" s="152"/>
      <c r="D15" s="152"/>
      <c r="E15" s="152"/>
      <c r="F15" s="152"/>
      <c r="G15" s="152"/>
      <c r="H15" s="152"/>
      <c r="I15" s="152"/>
      <c r="J15" s="156"/>
      <c r="K15" s="19"/>
    </row>
    <row r="16" spans="1:11" ht="20.100000000000001" customHeight="1" x14ac:dyDescent="0.25">
      <c r="A16" s="19"/>
      <c r="B16" s="157" t="s">
        <v>65</v>
      </c>
      <c r="C16" s="158"/>
      <c r="D16" s="161" t="s">
        <v>49</v>
      </c>
      <c r="E16" s="162"/>
      <c r="F16" s="163"/>
      <c r="G16" s="161" t="s">
        <v>62</v>
      </c>
      <c r="H16" s="162"/>
      <c r="I16" s="162"/>
      <c r="J16" s="163"/>
      <c r="K16" s="19"/>
    </row>
    <row r="17" spans="1:11" ht="27" customHeight="1" x14ac:dyDescent="0.25">
      <c r="A17" s="19"/>
      <c r="B17" s="159"/>
      <c r="C17" s="160"/>
      <c r="D17" s="23" t="s">
        <v>17</v>
      </c>
      <c r="E17" s="18" t="s">
        <v>55</v>
      </c>
      <c r="F17" s="18" t="s">
        <v>56</v>
      </c>
      <c r="G17" s="177" t="s">
        <v>139</v>
      </c>
      <c r="H17" s="178"/>
      <c r="I17" s="178"/>
      <c r="J17" s="179"/>
      <c r="K17" s="19"/>
    </row>
    <row r="18" spans="1:11" ht="20.100000000000001" customHeight="1" x14ac:dyDescent="0.25">
      <c r="A18" s="19"/>
      <c r="B18" s="151" t="s">
        <v>53</v>
      </c>
      <c r="C18" s="152"/>
      <c r="D18" s="51">
        <f>D14</f>
        <v>8424.4043999999994</v>
      </c>
      <c r="E18" s="51" t="s">
        <v>96</v>
      </c>
      <c r="F18" s="51">
        <f>D18*1.23</f>
        <v>10362.017411999999</v>
      </c>
      <c r="G18" s="180"/>
      <c r="H18" s="180"/>
      <c r="I18" s="180"/>
      <c r="J18" s="181"/>
      <c r="K18" s="19"/>
    </row>
    <row r="19" spans="1:11" ht="20.100000000000001" customHeight="1" x14ac:dyDescent="0.25">
      <c r="A19" s="19"/>
      <c r="B19" s="151" t="s">
        <v>54</v>
      </c>
      <c r="C19" s="152"/>
      <c r="D19" s="51">
        <v>12000</v>
      </c>
      <c r="E19" s="51">
        <f>D19*1.08</f>
        <v>12960</v>
      </c>
      <c r="F19" s="51">
        <f>D19*1.23</f>
        <v>14760</v>
      </c>
      <c r="G19" s="180"/>
      <c r="H19" s="180"/>
      <c r="I19" s="180"/>
      <c r="J19" s="181"/>
      <c r="K19" s="19"/>
    </row>
    <row r="20" spans="1:11" ht="20.100000000000001" customHeight="1" x14ac:dyDescent="0.25">
      <c r="A20" s="19"/>
      <c r="B20" s="151" t="s">
        <v>61</v>
      </c>
      <c r="C20" s="152"/>
      <c r="D20" s="53">
        <f>D19-D18</f>
        <v>3575.5956000000006</v>
      </c>
      <c r="E20" s="52" t="s">
        <v>96</v>
      </c>
      <c r="F20" s="53">
        <f>F19-F18</f>
        <v>4397.9825880000008</v>
      </c>
      <c r="G20" s="180"/>
      <c r="H20" s="180"/>
      <c r="I20" s="180"/>
      <c r="J20" s="181"/>
      <c r="K20" s="19"/>
    </row>
    <row r="21" spans="1:11" ht="20.100000000000001" customHeight="1" x14ac:dyDescent="0.25">
      <c r="A21" s="19"/>
      <c r="B21" s="151" t="s">
        <v>97</v>
      </c>
      <c r="C21" s="152"/>
      <c r="D21" s="172">
        <f>(D20*100/D19)/100</f>
        <v>0.29796630000000002</v>
      </c>
      <c r="E21" s="173"/>
      <c r="F21" s="174"/>
      <c r="G21" s="180"/>
      <c r="H21" s="180"/>
      <c r="I21" s="180"/>
      <c r="J21" s="181"/>
      <c r="K21" s="19"/>
    </row>
    <row r="22" spans="1:11" ht="20.100000000000001" customHeight="1" x14ac:dyDescent="0.25">
      <c r="A22" s="19"/>
      <c r="B22" s="175" t="s">
        <v>98</v>
      </c>
      <c r="C22" s="176"/>
      <c r="D22" s="68"/>
      <c r="E22" s="55">
        <f>((E19-F18)/E19)</f>
        <v>0.20046161944444452</v>
      </c>
      <c r="F22" s="69"/>
      <c r="G22" s="182"/>
      <c r="H22" s="182"/>
      <c r="I22" s="182"/>
      <c r="J22" s="183"/>
      <c r="K22" s="19"/>
    </row>
    <row r="23" spans="1:11" ht="15" customHeight="1" x14ac:dyDescent="0.25">
      <c r="A23" s="19"/>
      <c r="B23" s="80"/>
      <c r="C23" s="80"/>
      <c r="D23" s="102"/>
      <c r="E23" s="102"/>
      <c r="F23" s="103"/>
      <c r="G23" s="104"/>
      <c r="H23" s="104"/>
      <c r="I23" s="104"/>
      <c r="J23" s="104"/>
      <c r="K23" s="19"/>
    </row>
    <row r="24" spans="1:11" ht="20.100000000000001" customHeight="1" x14ac:dyDescent="0.25">
      <c r="A24" s="19"/>
      <c r="B24" s="151" t="s">
        <v>64</v>
      </c>
      <c r="C24" s="152"/>
      <c r="D24" s="152"/>
      <c r="E24" s="152"/>
      <c r="F24" s="152"/>
      <c r="G24" s="152"/>
      <c r="H24" s="152"/>
      <c r="I24" s="152"/>
      <c r="J24" s="156"/>
      <c r="K24" s="19"/>
    </row>
    <row r="25" spans="1:11" ht="20.100000000000001" customHeight="1" x14ac:dyDescent="0.25">
      <c r="A25" s="19"/>
      <c r="B25" s="170" t="s">
        <v>53</v>
      </c>
      <c r="C25" s="170"/>
      <c r="D25" s="170"/>
      <c r="E25" s="170"/>
      <c r="F25" s="170" t="s">
        <v>54</v>
      </c>
      <c r="G25" s="170"/>
      <c r="H25" s="170"/>
      <c r="I25" s="170"/>
      <c r="J25" s="170"/>
      <c r="K25" s="19"/>
    </row>
    <row r="26" spans="1:11" ht="20.100000000000001" customHeight="1" x14ac:dyDescent="0.25">
      <c r="A26" s="19"/>
      <c r="B26" s="170" t="s">
        <v>52</v>
      </c>
      <c r="C26" s="170"/>
      <c r="D26" s="170" t="s">
        <v>49</v>
      </c>
      <c r="E26" s="170"/>
      <c r="F26" s="170" t="s">
        <v>58</v>
      </c>
      <c r="G26" s="170"/>
      <c r="H26" s="151" t="s">
        <v>49</v>
      </c>
      <c r="I26" s="152"/>
      <c r="J26" s="156"/>
      <c r="K26" s="19"/>
    </row>
    <row r="27" spans="1:11" ht="27" customHeight="1" x14ac:dyDescent="0.25">
      <c r="A27" s="19"/>
      <c r="B27" s="170"/>
      <c r="C27" s="170"/>
      <c r="D27" s="23" t="s">
        <v>17</v>
      </c>
      <c r="E27" s="18" t="s">
        <v>56</v>
      </c>
      <c r="F27" s="170"/>
      <c r="G27" s="170"/>
      <c r="H27" s="23" t="s">
        <v>17</v>
      </c>
      <c r="I27" s="18" t="s">
        <v>55</v>
      </c>
      <c r="J27" s="18" t="s">
        <v>56</v>
      </c>
      <c r="K27" s="19"/>
    </row>
    <row r="28" spans="1:11" ht="20.100000000000001" customHeight="1" x14ac:dyDescent="0.25">
      <c r="A28" s="19"/>
      <c r="B28" s="170" t="s">
        <v>47</v>
      </c>
      <c r="C28" s="170"/>
      <c r="D28" s="94">
        <v>1949.03</v>
      </c>
      <c r="E28" s="94">
        <f>D28*1.23</f>
        <v>2397.3069</v>
      </c>
      <c r="F28" s="171" t="s">
        <v>59</v>
      </c>
      <c r="G28" s="171"/>
      <c r="H28" s="167">
        <v>31940</v>
      </c>
      <c r="I28" s="167">
        <f>H28*1.08</f>
        <v>34495.200000000004</v>
      </c>
      <c r="J28" s="167">
        <f>H28*1.23</f>
        <v>39286.199999999997</v>
      </c>
      <c r="K28" s="19"/>
    </row>
    <row r="29" spans="1:11" ht="20.100000000000001" customHeight="1" x14ac:dyDescent="0.25">
      <c r="A29" s="19"/>
      <c r="B29" s="170" t="s">
        <v>48</v>
      </c>
      <c r="C29" s="170"/>
      <c r="D29" s="94">
        <v>15422.86</v>
      </c>
      <c r="E29" s="94">
        <f t="shared" ref="E29:E32" si="1">D29*1.23</f>
        <v>18970.1178</v>
      </c>
      <c r="F29" s="171"/>
      <c r="G29" s="171"/>
      <c r="H29" s="168"/>
      <c r="I29" s="168"/>
      <c r="J29" s="168"/>
      <c r="K29" s="19"/>
    </row>
    <row r="30" spans="1:11" ht="20.100000000000001" customHeight="1" x14ac:dyDescent="0.25">
      <c r="A30" s="19"/>
      <c r="B30" s="170" t="s">
        <v>50</v>
      </c>
      <c r="C30" s="170"/>
      <c r="D30" s="95">
        <v>600</v>
      </c>
      <c r="E30" s="94">
        <f t="shared" si="1"/>
        <v>738</v>
      </c>
      <c r="F30" s="171"/>
      <c r="G30" s="171"/>
      <c r="H30" s="168"/>
      <c r="I30" s="168"/>
      <c r="J30" s="168"/>
      <c r="K30" s="19"/>
    </row>
    <row r="31" spans="1:11" ht="20.100000000000001" customHeight="1" x14ac:dyDescent="0.25">
      <c r="A31" s="19"/>
      <c r="B31" s="170" t="s">
        <v>51</v>
      </c>
      <c r="C31" s="170"/>
      <c r="D31" s="95">
        <v>6000</v>
      </c>
      <c r="E31" s="94">
        <f t="shared" si="1"/>
        <v>7380</v>
      </c>
      <c r="F31" s="171"/>
      <c r="G31" s="171"/>
      <c r="H31" s="168"/>
      <c r="I31" s="168"/>
      <c r="J31" s="168"/>
      <c r="K31" s="19"/>
    </row>
    <row r="32" spans="1:11" ht="20.100000000000001" customHeight="1" x14ac:dyDescent="0.25">
      <c r="A32" s="19"/>
      <c r="B32" s="170" t="s">
        <v>57</v>
      </c>
      <c r="C32" s="170"/>
      <c r="D32" s="96">
        <f>SUM(D28:D31)</f>
        <v>23971.89</v>
      </c>
      <c r="E32" s="97">
        <f t="shared" si="1"/>
        <v>29485.4247</v>
      </c>
      <c r="F32" s="171"/>
      <c r="G32" s="171"/>
      <c r="H32" s="169"/>
      <c r="I32" s="169"/>
      <c r="J32" s="169"/>
      <c r="K32" s="19"/>
    </row>
    <row r="33" spans="1:11" ht="20.100000000000001" customHeight="1" x14ac:dyDescent="0.25">
      <c r="A33" s="19"/>
      <c r="B33" s="151" t="s">
        <v>60</v>
      </c>
      <c r="C33" s="152"/>
      <c r="D33" s="152"/>
      <c r="E33" s="152"/>
      <c r="F33" s="152"/>
      <c r="G33" s="152"/>
      <c r="H33" s="152"/>
      <c r="I33" s="152"/>
      <c r="J33" s="156"/>
      <c r="K33" s="19"/>
    </row>
    <row r="34" spans="1:11" ht="20.100000000000001" customHeight="1" x14ac:dyDescent="0.25">
      <c r="A34" s="19"/>
      <c r="B34" s="157" t="s">
        <v>65</v>
      </c>
      <c r="C34" s="158"/>
      <c r="D34" s="161" t="s">
        <v>49</v>
      </c>
      <c r="E34" s="162"/>
      <c r="F34" s="163"/>
      <c r="G34" s="161" t="s">
        <v>62</v>
      </c>
      <c r="H34" s="162"/>
      <c r="I34" s="162"/>
      <c r="J34" s="163"/>
      <c r="K34" s="19"/>
    </row>
    <row r="35" spans="1:11" ht="27" customHeight="1" x14ac:dyDescent="0.25">
      <c r="A35" s="19"/>
      <c r="B35" s="159"/>
      <c r="C35" s="160"/>
      <c r="D35" s="23" t="s">
        <v>17</v>
      </c>
      <c r="E35" s="18" t="s">
        <v>55</v>
      </c>
      <c r="F35" s="18" t="s">
        <v>56</v>
      </c>
      <c r="G35" s="206" t="s">
        <v>139</v>
      </c>
      <c r="H35" s="206"/>
      <c r="I35" s="206"/>
      <c r="J35" s="207"/>
      <c r="K35" s="19"/>
    </row>
    <row r="36" spans="1:11" ht="20.100000000000001" customHeight="1" x14ac:dyDescent="0.25">
      <c r="A36" s="19"/>
      <c r="B36" s="151" t="s">
        <v>53</v>
      </c>
      <c r="C36" s="152"/>
      <c r="D36" s="95">
        <f>D32</f>
        <v>23971.89</v>
      </c>
      <c r="E36" s="95" t="s">
        <v>96</v>
      </c>
      <c r="F36" s="95">
        <f>D36*1.23</f>
        <v>29485.4247</v>
      </c>
      <c r="G36" s="208"/>
      <c r="H36" s="208"/>
      <c r="I36" s="208"/>
      <c r="J36" s="209"/>
      <c r="K36" s="19"/>
    </row>
    <row r="37" spans="1:11" ht="20.100000000000001" customHeight="1" x14ac:dyDescent="0.25">
      <c r="A37" s="19"/>
      <c r="B37" s="151" t="s">
        <v>54</v>
      </c>
      <c r="C37" s="152"/>
      <c r="D37" s="95">
        <v>31940</v>
      </c>
      <c r="E37" s="95">
        <f>D37*1.08</f>
        <v>34495.200000000004</v>
      </c>
      <c r="F37" s="95">
        <f>D37*1.23</f>
        <v>39286.199999999997</v>
      </c>
      <c r="G37" s="208"/>
      <c r="H37" s="208"/>
      <c r="I37" s="208"/>
      <c r="J37" s="209"/>
      <c r="K37" s="19"/>
    </row>
    <row r="38" spans="1:11" ht="20.100000000000001" customHeight="1" x14ac:dyDescent="0.25">
      <c r="A38" s="19"/>
      <c r="B38" s="151" t="s">
        <v>61</v>
      </c>
      <c r="C38" s="152"/>
      <c r="D38" s="98">
        <f>D37-D36</f>
        <v>7968.1100000000006</v>
      </c>
      <c r="E38" s="96" t="s">
        <v>96</v>
      </c>
      <c r="F38" s="98">
        <f>F37-F36</f>
        <v>9800.7752999999975</v>
      </c>
      <c r="G38" s="208"/>
      <c r="H38" s="208"/>
      <c r="I38" s="208"/>
      <c r="J38" s="209"/>
      <c r="K38" s="19"/>
    </row>
    <row r="39" spans="1:11" ht="20.100000000000001" customHeight="1" x14ac:dyDescent="0.25">
      <c r="A39" s="19"/>
      <c r="B39" s="151" t="s">
        <v>97</v>
      </c>
      <c r="C39" s="152"/>
      <c r="D39" s="153">
        <f>(D38*100/D37)/100</f>
        <v>0.24947119599248591</v>
      </c>
      <c r="E39" s="154"/>
      <c r="F39" s="155"/>
      <c r="G39" s="208"/>
      <c r="H39" s="208"/>
      <c r="I39" s="208"/>
      <c r="J39" s="209"/>
      <c r="K39" s="19"/>
    </row>
    <row r="40" spans="1:11" ht="20.100000000000001" customHeight="1" x14ac:dyDescent="0.25">
      <c r="A40" s="19"/>
      <c r="B40" s="175" t="s">
        <v>98</v>
      </c>
      <c r="C40" s="176"/>
      <c r="D40" s="153">
        <f>(E37-F36)/E37</f>
        <v>0.14523108432477574</v>
      </c>
      <c r="E40" s="154"/>
      <c r="F40" s="155"/>
      <c r="G40" s="210"/>
      <c r="H40" s="210"/>
      <c r="I40" s="210"/>
      <c r="J40" s="211"/>
      <c r="K40" s="19"/>
    </row>
    <row r="41" spans="1:11" x14ac:dyDescent="0.25">
      <c r="A41" s="19"/>
      <c r="B41" s="19"/>
      <c r="C41" s="19"/>
      <c r="D41" s="19"/>
      <c r="E41" s="19"/>
      <c r="F41" s="19"/>
      <c r="G41" s="19"/>
      <c r="H41" s="19"/>
      <c r="I41" s="19"/>
      <c r="J41" s="19"/>
      <c r="K41" s="19"/>
    </row>
    <row r="48" spans="1:11" ht="15" customHeight="1" x14ac:dyDescent="0.25"/>
    <row r="49" spans="4:4" ht="54" customHeight="1" x14ac:dyDescent="0.25"/>
    <row r="50" spans="4:4" ht="69.95" customHeight="1" x14ac:dyDescent="0.25">
      <c r="D50" s="1"/>
    </row>
    <row r="51" spans="4:4" ht="27" customHeight="1" x14ac:dyDescent="0.25">
      <c r="D51" s="1"/>
    </row>
    <row r="52" spans="4:4" ht="27" customHeight="1" x14ac:dyDescent="0.25">
      <c r="D52" s="1"/>
    </row>
    <row r="53" spans="4:4" ht="69.95" customHeight="1" x14ac:dyDescent="0.25">
      <c r="D53" s="1"/>
    </row>
    <row r="54" spans="4:4" ht="15" customHeight="1" x14ac:dyDescent="0.25">
      <c r="D54" s="1"/>
    </row>
    <row r="55" spans="4:4" ht="27" customHeight="1" x14ac:dyDescent="0.25">
      <c r="D55" s="1"/>
    </row>
    <row r="56" spans="4:4" ht="27" customHeight="1" x14ac:dyDescent="0.25">
      <c r="D56" s="1"/>
    </row>
    <row r="57" spans="4:4" ht="27" customHeight="1" x14ac:dyDescent="0.25">
      <c r="D57" s="1"/>
    </row>
    <row r="58" spans="4:4" ht="27" customHeight="1" x14ac:dyDescent="0.25"/>
  </sheetData>
  <mergeCells count="58">
    <mergeCell ref="B28:C28"/>
    <mergeCell ref="F28:G32"/>
    <mergeCell ref="H28:H32"/>
    <mergeCell ref="I28:I32"/>
    <mergeCell ref="J28:J32"/>
    <mergeCell ref="B29:C29"/>
    <mergeCell ref="B30:C30"/>
    <mergeCell ref="B31:C31"/>
    <mergeCell ref="B32:C32"/>
    <mergeCell ref="B22:C22"/>
    <mergeCell ref="G17:J22"/>
    <mergeCell ref="B24:J24"/>
    <mergeCell ref="B25:E25"/>
    <mergeCell ref="F25:J25"/>
    <mergeCell ref="F10:G14"/>
    <mergeCell ref="H10:H14"/>
    <mergeCell ref="I10:I14"/>
    <mergeCell ref="B26:C27"/>
    <mergeCell ref="D26:E26"/>
    <mergeCell ref="F26:G27"/>
    <mergeCell ref="H26:J26"/>
    <mergeCell ref="B15:J15"/>
    <mergeCell ref="B18:C18"/>
    <mergeCell ref="B19:C19"/>
    <mergeCell ref="B20:C20"/>
    <mergeCell ref="D16:F16"/>
    <mergeCell ref="B16:C17"/>
    <mergeCell ref="G16:J16"/>
    <mergeCell ref="B21:C21"/>
    <mergeCell ref="D21:F21"/>
    <mergeCell ref="B2:B4"/>
    <mergeCell ref="C2:D4"/>
    <mergeCell ref="E2:J4"/>
    <mergeCell ref="J10:J14"/>
    <mergeCell ref="H8:J8"/>
    <mergeCell ref="B6:J6"/>
    <mergeCell ref="B10:C10"/>
    <mergeCell ref="B11:C11"/>
    <mergeCell ref="B12:C12"/>
    <mergeCell ref="B13:C13"/>
    <mergeCell ref="D8:E8"/>
    <mergeCell ref="B8:C9"/>
    <mergeCell ref="B7:E7"/>
    <mergeCell ref="F7:J7"/>
    <mergeCell ref="F8:G9"/>
    <mergeCell ref="B14:C14"/>
    <mergeCell ref="B38:C38"/>
    <mergeCell ref="B39:C39"/>
    <mergeCell ref="D39:F39"/>
    <mergeCell ref="D40:F40"/>
    <mergeCell ref="B33:J33"/>
    <mergeCell ref="B34:C35"/>
    <mergeCell ref="D34:F34"/>
    <mergeCell ref="G34:J34"/>
    <mergeCell ref="G35:J40"/>
    <mergeCell ref="B36:C36"/>
    <mergeCell ref="B37:C37"/>
    <mergeCell ref="B40:C40"/>
  </mergeCells>
  <pageMargins left="0.70866141732283472" right="0.70866141732283472" top="0.74803149606299213" bottom="0.74803149606299213" header="0.31496062992125984" footer="0.31496062992125984"/>
  <pageSetup paperSize="9" scale="92" fitToHeight="0"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9128B-F651-4A47-BA70-08B755B6758A}">
  <sheetPr>
    <pageSetUpPr fitToPage="1"/>
  </sheetPr>
  <dimension ref="A1:O70"/>
  <sheetViews>
    <sheetView zoomScale="120" zoomScaleNormal="120" workbookViewId="0">
      <selection activeCell="I61" sqref="I61"/>
    </sheetView>
  </sheetViews>
  <sheetFormatPr defaultRowHeight="15" x14ac:dyDescent="0.25"/>
  <cols>
    <col min="1" max="1" width="4.7109375" customWidth="1"/>
    <col min="2" max="2" width="30.28515625" customWidth="1"/>
    <col min="3" max="10" width="12.7109375" customWidth="1"/>
    <col min="11" max="11" width="4.7109375" customWidth="1"/>
  </cols>
  <sheetData>
    <row r="1" spans="1:15" x14ac:dyDescent="0.25">
      <c r="A1" s="19"/>
      <c r="B1" s="19"/>
      <c r="C1" s="19"/>
      <c r="D1" s="19"/>
      <c r="E1" s="19"/>
      <c r="F1" s="19"/>
      <c r="G1" s="19"/>
      <c r="H1" s="19"/>
      <c r="I1" s="19"/>
      <c r="J1" s="19"/>
      <c r="K1" s="19"/>
    </row>
    <row r="2" spans="1:15" ht="27" customHeight="1" x14ac:dyDescent="0.25">
      <c r="A2" s="19"/>
      <c r="B2" s="108"/>
      <c r="C2" s="111" t="s">
        <v>0</v>
      </c>
      <c r="D2" s="111"/>
      <c r="E2" s="164" t="s">
        <v>44</v>
      </c>
      <c r="F2" s="164"/>
      <c r="G2" s="164"/>
      <c r="H2" s="164"/>
      <c r="I2" s="164"/>
      <c r="J2" s="164"/>
      <c r="K2" s="19"/>
    </row>
    <row r="3" spans="1:15" ht="27" customHeight="1" x14ac:dyDescent="0.25">
      <c r="A3" s="19"/>
      <c r="B3" s="109"/>
      <c r="C3" s="111"/>
      <c r="D3" s="111"/>
      <c r="E3" s="165"/>
      <c r="F3" s="165"/>
      <c r="G3" s="165"/>
      <c r="H3" s="165"/>
      <c r="I3" s="165"/>
      <c r="J3" s="165"/>
      <c r="K3" s="19"/>
    </row>
    <row r="4" spans="1:15" ht="27" customHeight="1" x14ac:dyDescent="0.25">
      <c r="A4" s="19"/>
      <c r="B4" s="110"/>
      <c r="C4" s="111"/>
      <c r="D4" s="111"/>
      <c r="E4" s="166"/>
      <c r="F4" s="166"/>
      <c r="G4" s="166"/>
      <c r="H4" s="166"/>
      <c r="I4" s="166"/>
      <c r="J4" s="166"/>
      <c r="K4" s="19"/>
    </row>
    <row r="5" spans="1:15" ht="27" customHeight="1" x14ac:dyDescent="0.25">
      <c r="A5" s="19"/>
      <c r="B5" s="151" t="s">
        <v>43</v>
      </c>
      <c r="C5" s="152"/>
      <c r="D5" s="152"/>
      <c r="E5" s="152"/>
      <c r="F5" s="152"/>
      <c r="G5" s="152"/>
      <c r="H5" s="152"/>
      <c r="I5" s="152"/>
      <c r="J5" s="156"/>
      <c r="K5" s="19"/>
    </row>
    <row r="6" spans="1:15" ht="170.1" customHeight="1" x14ac:dyDescent="0.25">
      <c r="A6" s="19"/>
      <c r="B6" s="151"/>
      <c r="C6" s="152"/>
      <c r="D6" s="152"/>
      <c r="E6" s="152"/>
      <c r="F6" s="152"/>
      <c r="G6" s="152"/>
      <c r="H6" s="152"/>
      <c r="I6" s="152"/>
      <c r="J6" s="156"/>
      <c r="K6" s="19"/>
    </row>
    <row r="7" spans="1:15" ht="27" customHeight="1" x14ac:dyDescent="0.25">
      <c r="A7" s="19"/>
      <c r="B7" s="151" t="s">
        <v>45</v>
      </c>
      <c r="C7" s="152"/>
      <c r="D7" s="152"/>
      <c r="E7" s="152"/>
      <c r="F7" s="152"/>
      <c r="G7" s="152"/>
      <c r="H7" s="152"/>
      <c r="I7" s="152"/>
      <c r="J7" s="156"/>
      <c r="K7" s="19"/>
    </row>
    <row r="8" spans="1:15" ht="27" customHeight="1" x14ac:dyDescent="0.25">
      <c r="A8" s="19"/>
      <c r="B8" s="115" t="s">
        <v>4</v>
      </c>
      <c r="C8" s="115" t="s">
        <v>5</v>
      </c>
      <c r="D8" s="115"/>
      <c r="E8" s="115"/>
      <c r="F8" s="8" t="str">
        <f>IF(AND(F11="NIE",F12="NIE",F13="NIE"),"WARIANT 0",IF(AND(F11="TAK",F12="NIE",F13="NIE"),"WARIANT 1",IF(AND(F11="NIE",F12="TAK",F13="NIE"),"WARIANT 2",IF(AND(F11="NIE",F12="NIE",F13="TAK"),"WARIANT 3",IF(AND(F11="TAK",F12="TAK",F13="NIE"),"WARIANT 4",IF(AND(F11="TAK",F12="NIE",F13="TAK"),"WARIANT 5",IF(AND(F11="NIE",F12="TAK",F13="TAK"),"WARIANT 6","WARIANT 7")))))))</f>
        <v>WARIANT 4</v>
      </c>
      <c r="G8" s="115" t="s">
        <v>8</v>
      </c>
      <c r="H8" s="115"/>
      <c r="I8" s="115"/>
      <c r="J8" s="115"/>
      <c r="K8" s="19"/>
    </row>
    <row r="9" spans="1:15" ht="27" customHeight="1" x14ac:dyDescent="0.25">
      <c r="A9" s="19"/>
      <c r="B9" s="115"/>
      <c r="C9" s="115"/>
      <c r="D9" s="115"/>
      <c r="E9" s="115"/>
      <c r="F9" s="121" t="s">
        <v>28</v>
      </c>
      <c r="G9" s="120" t="s">
        <v>15</v>
      </c>
      <c r="H9" s="120"/>
      <c r="I9" s="120" t="s">
        <v>16</v>
      </c>
      <c r="J9" s="120"/>
      <c r="K9" s="19"/>
    </row>
    <row r="10" spans="1:15" ht="27" customHeight="1" x14ac:dyDescent="0.25">
      <c r="A10" s="19"/>
      <c r="B10" s="115"/>
      <c r="C10" s="115"/>
      <c r="D10" s="115"/>
      <c r="E10" s="115"/>
      <c r="F10" s="121"/>
      <c r="G10" s="23" t="s">
        <v>17</v>
      </c>
      <c r="H10" s="23" t="s">
        <v>18</v>
      </c>
      <c r="I10" s="23" t="s">
        <v>17</v>
      </c>
      <c r="J10" s="23" t="s">
        <v>18</v>
      </c>
      <c r="K10" s="19"/>
    </row>
    <row r="11" spans="1:15" ht="69.95" customHeight="1" x14ac:dyDescent="0.25">
      <c r="A11" s="19"/>
      <c r="B11" s="9" t="s">
        <v>1</v>
      </c>
      <c r="C11" s="119" t="s">
        <v>12</v>
      </c>
      <c r="D11" s="119"/>
      <c r="E11" s="119"/>
      <c r="F11" s="12" t="s">
        <v>9</v>
      </c>
      <c r="G11" s="13">
        <v>40</v>
      </c>
      <c r="H11" s="14">
        <v>49.2</v>
      </c>
      <c r="I11" s="14">
        <v>30</v>
      </c>
      <c r="J11" s="14">
        <v>36.9</v>
      </c>
      <c r="K11" s="19"/>
    </row>
    <row r="12" spans="1:15" ht="69.95" customHeight="1" x14ac:dyDescent="0.25">
      <c r="A12" s="19"/>
      <c r="B12" s="9" t="s">
        <v>2</v>
      </c>
      <c r="C12" s="119" t="s">
        <v>6</v>
      </c>
      <c r="D12" s="119"/>
      <c r="E12" s="119"/>
      <c r="F12" s="12" t="s">
        <v>9</v>
      </c>
      <c r="G12" s="13">
        <v>105</v>
      </c>
      <c r="H12" s="14">
        <v>129.15</v>
      </c>
      <c r="I12" s="14">
        <v>80</v>
      </c>
      <c r="J12" s="14">
        <v>98.4</v>
      </c>
      <c r="K12" s="19"/>
    </row>
    <row r="13" spans="1:15" ht="69.95" customHeight="1" x14ac:dyDescent="0.25">
      <c r="A13" s="19"/>
      <c r="B13" s="9" t="s">
        <v>3</v>
      </c>
      <c r="C13" s="119" t="s">
        <v>7</v>
      </c>
      <c r="D13" s="119"/>
      <c r="E13" s="119"/>
      <c r="F13" s="12" t="s">
        <v>10</v>
      </c>
      <c r="G13" s="15">
        <v>40</v>
      </c>
      <c r="H13" s="16">
        <v>49.2</v>
      </c>
      <c r="I13" s="16">
        <v>30</v>
      </c>
      <c r="J13" s="16">
        <v>36.9</v>
      </c>
      <c r="K13" s="19"/>
    </row>
    <row r="14" spans="1:15" ht="69.95" customHeight="1" x14ac:dyDescent="0.25">
      <c r="A14" s="19"/>
      <c r="B14" s="9" t="s">
        <v>11</v>
      </c>
      <c r="C14" s="119" t="s">
        <v>13</v>
      </c>
      <c r="D14" s="119"/>
      <c r="E14" s="119"/>
      <c r="F14" s="45">
        <f>SUM(Tabela2467[[WYNIK ]])</f>
        <v>4.5142350000000002</v>
      </c>
      <c r="G14" s="10">
        <f>$F$14*IF($F$8="WARIANT 1",G11,IF($F$8="WARIANT 2",G12,IF($F$8="WARIANT 3",G13,0)))</f>
        <v>0</v>
      </c>
      <c r="H14" s="11">
        <f>$F$14*IF($F$8="WARIANT 1",H11,IF($F$8="WARIANT 2",H12,IF($F$8="WARIANT 3",H13,0)))</f>
        <v>0</v>
      </c>
      <c r="I14" s="11">
        <f>$F$14*IF($F$8="WARIANT 4",I11+I12,IF($F$8="WARIANT 5",I11+I13,IF($F$8="WARIANT 6",I12+I13,IF(F8="WARIANT 7",I11+I12+I13,0))))</f>
        <v>496.56585000000001</v>
      </c>
      <c r="J14" s="11">
        <f>$F$14*IF($F$8="WARIANT 4",J11+J12,IF($F$8="WARIANT 5",J11+J13,IF($F$8="WARIANT 6",J12+J13,IF(F8="WARIANT 7",J11+J12+J13,0))))</f>
        <v>610.77599550000014</v>
      </c>
      <c r="K14" s="19"/>
      <c r="O14" s="1"/>
    </row>
    <row r="15" spans="1:15" ht="15" customHeight="1" x14ac:dyDescent="0.25">
      <c r="A15" s="19"/>
      <c r="B15" s="116"/>
      <c r="C15" s="117"/>
      <c r="D15" s="117"/>
      <c r="E15" s="117"/>
      <c r="F15" s="117"/>
      <c r="G15" s="117"/>
      <c r="H15" s="117"/>
      <c r="I15" s="117"/>
      <c r="J15" s="118"/>
      <c r="K15" s="19"/>
      <c r="O15" s="1"/>
    </row>
    <row r="16" spans="1:15" ht="30" customHeight="1" x14ac:dyDescent="0.25">
      <c r="A16" s="19"/>
      <c r="B16" s="2" t="s">
        <v>14</v>
      </c>
      <c r="C16" s="4" t="s">
        <v>20</v>
      </c>
      <c r="D16" s="5" t="s">
        <v>22</v>
      </c>
      <c r="E16" s="5" t="s">
        <v>19</v>
      </c>
      <c r="F16" s="5" t="s">
        <v>23</v>
      </c>
      <c r="G16" s="5" t="s">
        <v>21</v>
      </c>
      <c r="H16" s="5" t="s">
        <v>24</v>
      </c>
      <c r="I16" s="5" t="s">
        <v>25</v>
      </c>
      <c r="J16" s="5" t="s">
        <v>29</v>
      </c>
      <c r="K16" s="19"/>
    </row>
    <row r="17" spans="1:15" x14ac:dyDescent="0.25">
      <c r="A17" s="19"/>
      <c r="B17" s="70" t="s">
        <v>46</v>
      </c>
      <c r="C17" s="71">
        <v>1</v>
      </c>
      <c r="D17" s="70">
        <v>327</v>
      </c>
      <c r="E17" s="70">
        <v>251</v>
      </c>
      <c r="F17" s="70">
        <v>55</v>
      </c>
      <c r="G17" s="70">
        <v>1</v>
      </c>
      <c r="H17" s="70">
        <f>Tabela2467[[#This Row],[SZEROKOŚĆ 
'[CM']]]*Tabela2467[[#This Row],[WYSOKOŚĆ 
'[CM']]]*Tabela2467[[#This Row],[GŁĘBOKOŚĆ 
'[CM']]]</f>
        <v>4514235</v>
      </c>
      <c r="I17" s="70">
        <f>Tabela2467[[#This Row],[OBJĘTOŚĆ 
'[CM^3']]]/1000000</f>
        <v>4.5142350000000002</v>
      </c>
      <c r="J17" s="70">
        <f>Tabela2467[[#This Row],[WSPÓŁCZYNNIK 
'[1.0 - 2.0']]]*Tabela2467[[#This Row],[ILOŚĆ 
'[SZT']]]*Tabela2467[[#This Row],[OBJĘTOŚĆ 
'[M^3']]]</f>
        <v>4.5142350000000002</v>
      </c>
      <c r="K17" s="19"/>
    </row>
    <row r="18" spans="1:15" hidden="1" x14ac:dyDescent="0.25">
      <c r="A18" s="19"/>
      <c r="B18" s="34"/>
      <c r="C18" s="6"/>
      <c r="G18" s="40">
        <v>1</v>
      </c>
      <c r="H18">
        <f>Tabela2467[[#This Row],[SZEROKOŚĆ 
'[CM']]]*Tabela2467[[#This Row],[WYSOKOŚĆ 
'[CM']]]*Tabela2467[[#This Row],[GŁĘBOKOŚĆ 
'[CM']]]</f>
        <v>0</v>
      </c>
      <c r="I18">
        <f>Tabela2467[[#This Row],[OBJĘTOŚĆ 
'[CM^3']]]/1000000</f>
        <v>0</v>
      </c>
      <c r="J18" s="41">
        <f>Tabela2467[[#This Row],[WSPÓŁCZYNNIK 
'[1.0 - 2.0']]]*Tabela2467[[#This Row],[ILOŚĆ 
'[SZT']]]*Tabela2467[[#This Row],[OBJĘTOŚĆ 
'[M^3']]]</f>
        <v>0</v>
      </c>
      <c r="K18" s="19"/>
    </row>
    <row r="19" spans="1:15" hidden="1" x14ac:dyDescent="0.25">
      <c r="A19" s="19"/>
      <c r="B19" s="35"/>
      <c r="C19" s="7"/>
      <c r="D19" s="3"/>
      <c r="E19" s="3"/>
      <c r="G19" s="40">
        <v>1</v>
      </c>
      <c r="H19">
        <f>Tabela2467[[#This Row],[SZEROKOŚĆ 
'[CM']]]*Tabela2467[[#This Row],[WYSOKOŚĆ 
'[CM']]]*Tabela2467[[#This Row],[GŁĘBOKOŚĆ 
'[CM']]]</f>
        <v>0</v>
      </c>
      <c r="I19">
        <f>Tabela2467[[#This Row],[OBJĘTOŚĆ 
'[CM^3']]]/1000000</f>
        <v>0</v>
      </c>
      <c r="J19" s="41">
        <f>Tabela2467[[#This Row],[WSPÓŁCZYNNIK 
'[1.0 - 2.0']]]*Tabela2467[[#This Row],[ILOŚĆ 
'[SZT']]]*Tabela2467[[#This Row],[OBJĘTOŚĆ 
'[M^3']]]</f>
        <v>0</v>
      </c>
      <c r="K19" s="19"/>
    </row>
    <row r="20" spans="1:15" hidden="1" x14ac:dyDescent="0.25">
      <c r="A20" s="19"/>
      <c r="B20" s="34"/>
      <c r="C20" s="6"/>
      <c r="G20" s="40">
        <v>1</v>
      </c>
      <c r="H20">
        <f>Tabela2467[[#This Row],[SZEROKOŚĆ 
'[CM']]]*Tabela2467[[#This Row],[WYSOKOŚĆ 
'[CM']]]*Tabela2467[[#This Row],[GŁĘBOKOŚĆ 
'[CM']]]</f>
        <v>0</v>
      </c>
      <c r="I20">
        <f>Tabela2467[[#This Row],[OBJĘTOŚĆ 
'[CM^3']]]/1000000</f>
        <v>0</v>
      </c>
      <c r="J20" s="41">
        <f>Tabela2467[[#This Row],[WSPÓŁCZYNNIK 
'[1.0 - 2.0']]]*Tabela2467[[#This Row],[ILOŚĆ 
'[SZT']]]*Tabela2467[[#This Row],[OBJĘTOŚĆ 
'[M^3']]]</f>
        <v>0</v>
      </c>
      <c r="K20" s="19"/>
    </row>
    <row r="21" spans="1:15" hidden="1" x14ac:dyDescent="0.25">
      <c r="A21" s="19"/>
      <c r="B21" s="34"/>
      <c r="C21" s="6"/>
      <c r="G21" s="40">
        <v>1</v>
      </c>
      <c r="H21">
        <f>Tabela2467[[#This Row],[SZEROKOŚĆ 
'[CM']]]*Tabela2467[[#This Row],[WYSOKOŚĆ 
'[CM']]]*Tabela2467[[#This Row],[GŁĘBOKOŚĆ 
'[CM']]]</f>
        <v>0</v>
      </c>
      <c r="I21">
        <f>Tabela2467[[#This Row],[OBJĘTOŚĆ 
'[CM^3']]]/1000000</f>
        <v>0</v>
      </c>
      <c r="J21" s="41">
        <f>Tabela2467[[#This Row],[WSPÓŁCZYNNIK 
'[1.0 - 2.0']]]*Tabela2467[[#This Row],[ILOŚĆ 
'[SZT']]]*Tabela2467[[#This Row],[OBJĘTOŚĆ 
'[M^3']]]</f>
        <v>0</v>
      </c>
      <c r="K21" s="19"/>
    </row>
    <row r="22" spans="1:15" hidden="1" x14ac:dyDescent="0.25">
      <c r="A22" s="19"/>
      <c r="B22" s="34"/>
      <c r="C22" s="6"/>
      <c r="G22" s="40">
        <v>1</v>
      </c>
      <c r="H22">
        <f>Tabela2467[[#This Row],[SZEROKOŚĆ 
'[CM']]]*Tabela2467[[#This Row],[WYSOKOŚĆ 
'[CM']]]*Tabela2467[[#This Row],[GŁĘBOKOŚĆ 
'[CM']]]</f>
        <v>0</v>
      </c>
      <c r="I22">
        <f>Tabela2467[[#This Row],[OBJĘTOŚĆ 
'[CM^3']]]/1000000</f>
        <v>0</v>
      </c>
      <c r="J22" s="41">
        <f>Tabela2467[[#This Row],[WSPÓŁCZYNNIK 
'[1.0 - 2.0']]]*Tabela2467[[#This Row],[ILOŚĆ 
'[SZT']]]*Tabela2467[[#This Row],[OBJĘTOŚĆ 
'[M^3']]]</f>
        <v>0</v>
      </c>
      <c r="K22" s="19"/>
    </row>
    <row r="23" spans="1:15" hidden="1" x14ac:dyDescent="0.25">
      <c r="A23" s="19"/>
      <c r="B23" s="34"/>
      <c r="C23" s="6"/>
      <c r="G23" s="40">
        <v>1</v>
      </c>
      <c r="H23">
        <f>Tabela2467[[#This Row],[SZEROKOŚĆ 
'[CM']]]*Tabela2467[[#This Row],[WYSOKOŚĆ 
'[CM']]]*Tabela2467[[#This Row],[GŁĘBOKOŚĆ 
'[CM']]]</f>
        <v>0</v>
      </c>
      <c r="I23">
        <f>Tabela2467[[#This Row],[OBJĘTOŚĆ 
'[CM^3']]]/1000000</f>
        <v>0</v>
      </c>
      <c r="J23" s="41">
        <f>Tabela2467[[#This Row],[WSPÓŁCZYNNIK 
'[1.0 - 2.0']]]*Tabela2467[[#This Row],[ILOŚĆ 
'[SZT']]]*Tabela2467[[#This Row],[OBJĘTOŚĆ 
'[M^3']]]</f>
        <v>0</v>
      </c>
      <c r="K23" s="19"/>
    </row>
    <row r="24" spans="1:15" hidden="1" x14ac:dyDescent="0.25">
      <c r="A24" s="19"/>
      <c r="B24" s="34"/>
      <c r="C24" s="6"/>
      <c r="G24" s="40">
        <v>1</v>
      </c>
      <c r="H24">
        <f>Tabela2467[[#This Row],[SZEROKOŚĆ 
'[CM']]]*Tabela2467[[#This Row],[WYSOKOŚĆ 
'[CM']]]*Tabela2467[[#This Row],[GŁĘBOKOŚĆ 
'[CM']]]</f>
        <v>0</v>
      </c>
      <c r="I24">
        <f>Tabela2467[[#This Row],[OBJĘTOŚĆ 
'[CM^3']]]/1000000</f>
        <v>0</v>
      </c>
      <c r="J24" s="41">
        <f>Tabela2467[[#This Row],[WSPÓŁCZYNNIK 
'[1.0 - 2.0']]]*Tabela2467[[#This Row],[ILOŚĆ 
'[SZT']]]*Tabela2467[[#This Row],[OBJĘTOŚĆ 
'[M^3']]]</f>
        <v>0</v>
      </c>
      <c r="K24" s="19"/>
    </row>
    <row r="25" spans="1:15" hidden="1" x14ac:dyDescent="0.25">
      <c r="A25" s="19"/>
      <c r="B25" s="34"/>
      <c r="C25" s="6"/>
      <c r="G25" s="40">
        <v>1</v>
      </c>
      <c r="H25">
        <f>Tabela2467[[#This Row],[SZEROKOŚĆ 
'[CM']]]*Tabela2467[[#This Row],[WYSOKOŚĆ 
'[CM']]]*Tabela2467[[#This Row],[GŁĘBOKOŚĆ 
'[CM']]]</f>
        <v>0</v>
      </c>
      <c r="I25">
        <f>Tabela2467[[#This Row],[OBJĘTOŚĆ 
'[CM^3']]]/1000000</f>
        <v>0</v>
      </c>
      <c r="J25" s="41">
        <f>Tabela2467[[#This Row],[WSPÓŁCZYNNIK 
'[1.0 - 2.0']]]*Tabela2467[[#This Row],[ILOŚĆ 
'[SZT']]]*Tabela2467[[#This Row],[OBJĘTOŚĆ 
'[M^3']]]</f>
        <v>0</v>
      </c>
      <c r="K25" s="19"/>
    </row>
    <row r="26" spans="1:15" hidden="1" x14ac:dyDescent="0.25">
      <c r="A26" s="19"/>
      <c r="B26" s="34"/>
      <c r="C26" s="6"/>
      <c r="G26" s="40">
        <v>1</v>
      </c>
      <c r="H26">
        <f>Tabela2467[[#This Row],[SZEROKOŚĆ 
'[CM']]]*Tabela2467[[#This Row],[WYSOKOŚĆ 
'[CM']]]*Tabela2467[[#This Row],[GŁĘBOKOŚĆ 
'[CM']]]</f>
        <v>0</v>
      </c>
      <c r="I26">
        <f>Tabela2467[[#This Row],[OBJĘTOŚĆ 
'[CM^3']]]/1000000</f>
        <v>0</v>
      </c>
      <c r="J26" s="41">
        <f>Tabela2467[[#This Row],[WSPÓŁCZYNNIK 
'[1.0 - 2.0']]]*Tabela2467[[#This Row],[ILOŚĆ 
'[SZT']]]*Tabela2467[[#This Row],[OBJĘTOŚĆ 
'[M^3']]]</f>
        <v>0</v>
      </c>
      <c r="K26" s="19"/>
    </row>
    <row r="27" spans="1:15" hidden="1" x14ac:dyDescent="0.25">
      <c r="A27" s="19"/>
      <c r="B27" s="36"/>
      <c r="C27" s="6"/>
      <c r="G27" s="42">
        <v>1</v>
      </c>
      <c r="H27" s="43">
        <f>Tabela2467[[#This Row],[SZEROKOŚĆ 
'[CM']]]*Tabela2467[[#This Row],[WYSOKOŚĆ 
'[CM']]]*Tabela2467[[#This Row],[GŁĘBOKOŚĆ 
'[CM']]]</f>
        <v>0</v>
      </c>
      <c r="I27" s="43">
        <f>Tabela2467[[#This Row],[OBJĘTOŚĆ 
'[CM^3']]]/1000000</f>
        <v>0</v>
      </c>
      <c r="J27" s="44">
        <f>Tabela2467[[#This Row],[WSPÓŁCZYNNIK 
'[1.0 - 2.0']]]*Tabela2467[[#This Row],[ILOŚĆ 
'[SZT']]]*Tabela2467[[#This Row],[OBJĘTOŚĆ 
'[M^3']]]</f>
        <v>0</v>
      </c>
      <c r="K27" s="19"/>
    </row>
    <row r="28" spans="1:15" ht="15" customHeight="1" x14ac:dyDescent="0.25">
      <c r="A28" s="19"/>
      <c r="B28" s="19"/>
      <c r="C28" s="19"/>
      <c r="D28" s="19"/>
      <c r="E28" s="19"/>
      <c r="F28" s="19"/>
      <c r="G28" s="19"/>
      <c r="H28" s="19"/>
      <c r="I28" s="19"/>
      <c r="J28" s="19"/>
      <c r="K28" s="19"/>
    </row>
    <row r="29" spans="1:15" ht="54" customHeight="1" x14ac:dyDescent="0.25">
      <c r="A29" s="19"/>
      <c r="B29" s="23" t="s">
        <v>35</v>
      </c>
      <c r="C29" s="134" t="s">
        <v>5</v>
      </c>
      <c r="D29" s="134"/>
      <c r="E29" s="134"/>
      <c r="F29" s="24" t="s">
        <v>28</v>
      </c>
      <c r="G29" s="124" t="s">
        <v>40</v>
      </c>
      <c r="H29" s="124"/>
      <c r="I29" s="124" t="s">
        <v>32</v>
      </c>
      <c r="J29" s="124"/>
      <c r="K29" s="19"/>
    </row>
    <row r="30" spans="1:15" ht="69.95" customHeight="1" x14ac:dyDescent="0.25">
      <c r="A30" s="19"/>
      <c r="B30" s="126" t="s">
        <v>30</v>
      </c>
      <c r="C30" s="135" t="s">
        <v>41</v>
      </c>
      <c r="D30" s="136"/>
      <c r="E30" s="137"/>
      <c r="F30" s="12" t="s">
        <v>9</v>
      </c>
      <c r="G30" s="125">
        <v>100</v>
      </c>
      <c r="H30" s="125"/>
      <c r="I30" s="123">
        <v>15</v>
      </c>
      <c r="J30" s="123"/>
      <c r="K30" s="19"/>
      <c r="O30" s="1"/>
    </row>
    <row r="31" spans="1:15" ht="27" customHeight="1" x14ac:dyDescent="0.25">
      <c r="A31" s="19"/>
      <c r="B31" s="127"/>
      <c r="C31" s="138"/>
      <c r="D31" s="139"/>
      <c r="E31" s="140"/>
      <c r="F31" s="141" t="s">
        <v>33</v>
      </c>
      <c r="G31" s="142" t="s">
        <v>36</v>
      </c>
      <c r="H31" s="142"/>
      <c r="I31" s="124" t="s">
        <v>34</v>
      </c>
      <c r="J31" s="124"/>
      <c r="K31" s="19"/>
      <c r="O31" s="1"/>
    </row>
    <row r="32" spans="1:15" ht="27" customHeight="1" x14ac:dyDescent="0.25">
      <c r="A32" s="19"/>
      <c r="B32" s="126" t="s">
        <v>31</v>
      </c>
      <c r="C32" s="128" t="s">
        <v>42</v>
      </c>
      <c r="D32" s="129"/>
      <c r="E32" s="130"/>
      <c r="F32" s="141"/>
      <c r="G32" s="142"/>
      <c r="H32" s="142"/>
      <c r="I32" s="25" t="s">
        <v>17</v>
      </c>
      <c r="J32" s="25" t="s">
        <v>18</v>
      </c>
      <c r="K32" s="19"/>
      <c r="O32" s="1"/>
    </row>
    <row r="33" spans="1:15" ht="69.95" customHeight="1" x14ac:dyDescent="0.25">
      <c r="A33" s="19"/>
      <c r="B33" s="127"/>
      <c r="C33" s="131"/>
      <c r="D33" s="132"/>
      <c r="E33" s="133"/>
      <c r="F33" s="32">
        <f>SUM(Tabela2467[WSPÓŁCZYNNIK 
'[1.0 - 2.0']])</f>
        <v>1</v>
      </c>
      <c r="G33" s="122">
        <v>2.2999999999999998</v>
      </c>
      <c r="H33" s="122"/>
      <c r="I33" s="11">
        <f>IF(F30="TAK",(G30*F33+I30*G33),0)</f>
        <v>134.5</v>
      </c>
      <c r="J33" s="11">
        <f>I33*1.23</f>
        <v>165.435</v>
      </c>
      <c r="K33" s="19"/>
      <c r="O33" s="1"/>
    </row>
    <row r="34" spans="1:15" ht="15" customHeight="1" x14ac:dyDescent="0.25">
      <c r="A34" s="19"/>
      <c r="B34" s="17"/>
      <c r="C34" s="20"/>
      <c r="D34" s="20"/>
      <c r="E34" s="20"/>
      <c r="F34" s="28"/>
      <c r="G34" s="29"/>
      <c r="H34" s="29"/>
      <c r="I34" s="21"/>
      <c r="J34" s="21"/>
      <c r="K34" s="19"/>
      <c r="O34" s="1"/>
    </row>
    <row r="35" spans="1:15" ht="27" customHeight="1" x14ac:dyDescent="0.25">
      <c r="A35" s="19"/>
      <c r="B35" s="143" t="s">
        <v>39</v>
      </c>
      <c r="C35" s="121" t="s">
        <v>37</v>
      </c>
      <c r="D35" s="121"/>
      <c r="E35" s="121" t="s">
        <v>35</v>
      </c>
      <c r="F35" s="121"/>
      <c r="G35" s="124" t="s">
        <v>38</v>
      </c>
      <c r="H35" s="124"/>
      <c r="I35" s="124"/>
      <c r="J35" s="124"/>
      <c r="K35" s="19"/>
      <c r="O35" s="1"/>
    </row>
    <row r="36" spans="1:15" ht="27" customHeight="1" x14ac:dyDescent="0.25">
      <c r="A36" s="19"/>
      <c r="B36" s="144"/>
      <c r="C36" s="25" t="s">
        <v>17</v>
      </c>
      <c r="D36" s="25" t="s">
        <v>18</v>
      </c>
      <c r="E36" s="25" t="s">
        <v>17</v>
      </c>
      <c r="F36" s="25" t="s">
        <v>18</v>
      </c>
      <c r="G36" s="124" t="s">
        <v>17</v>
      </c>
      <c r="H36" s="124"/>
      <c r="I36" s="150" t="s">
        <v>18</v>
      </c>
      <c r="J36" s="150"/>
      <c r="K36" s="19"/>
      <c r="O36" s="1"/>
    </row>
    <row r="37" spans="1:15" ht="27" customHeight="1" x14ac:dyDescent="0.25">
      <c r="A37" s="19"/>
      <c r="B37" s="145"/>
      <c r="C37" s="31">
        <f>G14+I14</f>
        <v>496.56585000000001</v>
      </c>
      <c r="D37" s="31">
        <f>H14+J14</f>
        <v>610.77599550000014</v>
      </c>
      <c r="E37" s="31">
        <f>IF(F30="TAK",(G30*F33+I30*G33),0)</f>
        <v>134.5</v>
      </c>
      <c r="F37" s="30">
        <f>I33*1.23</f>
        <v>165.435</v>
      </c>
      <c r="G37" s="146">
        <f>C37+E37</f>
        <v>631.06584999999995</v>
      </c>
      <c r="H37" s="147"/>
      <c r="I37" s="148">
        <f>D37+F37</f>
        <v>776.21099550000008</v>
      </c>
      <c r="J37" s="149"/>
      <c r="K37" s="19"/>
      <c r="O37" s="1"/>
    </row>
    <row r="38" spans="1:15" ht="27" customHeight="1" x14ac:dyDescent="0.25">
      <c r="A38" s="19"/>
      <c r="B38" s="151" t="s">
        <v>104</v>
      </c>
      <c r="C38" s="152"/>
      <c r="D38" s="152"/>
      <c r="E38" s="152"/>
      <c r="F38" s="152"/>
      <c r="G38" s="152"/>
      <c r="H38" s="152"/>
      <c r="I38" s="152"/>
      <c r="J38" s="156"/>
      <c r="K38" s="19"/>
    </row>
    <row r="39" spans="1:15" x14ac:dyDescent="0.25">
      <c r="A39" s="19"/>
      <c r="B39" s="59" t="s">
        <v>75</v>
      </c>
      <c r="C39" s="59" t="s">
        <v>69</v>
      </c>
      <c r="D39" s="59" t="s">
        <v>71</v>
      </c>
      <c r="E39" s="59" t="s">
        <v>74</v>
      </c>
      <c r="F39" s="59" t="s">
        <v>79</v>
      </c>
      <c r="G39" s="59" t="s">
        <v>80</v>
      </c>
      <c r="H39" s="59" t="s">
        <v>81</v>
      </c>
      <c r="I39" s="23" t="s">
        <v>17</v>
      </c>
      <c r="J39" s="25" t="s">
        <v>18</v>
      </c>
      <c r="K39" s="19"/>
    </row>
    <row r="40" spans="1:15" x14ac:dyDescent="0.25">
      <c r="A40" s="19"/>
      <c r="B40" s="60" t="s">
        <v>66</v>
      </c>
      <c r="C40" s="61">
        <v>2</v>
      </c>
      <c r="D40" s="72" t="s">
        <v>73</v>
      </c>
      <c r="E40" s="62">
        <v>45</v>
      </c>
      <c r="F40" s="62">
        <f>E40*1.23</f>
        <v>55.35</v>
      </c>
      <c r="G40" s="62">
        <f>C40*E40</f>
        <v>90</v>
      </c>
      <c r="H40" s="62">
        <f>G40*1.23</f>
        <v>110.7</v>
      </c>
      <c r="I40" s="190">
        <f>SUM(G40:G45)</f>
        <v>3257.21</v>
      </c>
      <c r="J40" s="190">
        <f>SUM(H40:H45)</f>
        <v>4006.3682999999996</v>
      </c>
      <c r="K40" s="19"/>
    </row>
    <row r="41" spans="1:15" x14ac:dyDescent="0.25">
      <c r="A41" s="19"/>
      <c r="B41" s="66" t="s">
        <v>78</v>
      </c>
      <c r="C41" s="47">
        <v>2.5</v>
      </c>
      <c r="D41" s="73" t="s">
        <v>73</v>
      </c>
      <c r="E41" s="46">
        <v>270</v>
      </c>
      <c r="F41" s="46">
        <f t="shared" ref="F41:F45" si="0">E41*1.23</f>
        <v>332.1</v>
      </c>
      <c r="G41" s="46">
        <f t="shared" ref="G41:G45" si="1">C41*E41</f>
        <v>675</v>
      </c>
      <c r="H41" s="46">
        <f t="shared" ref="H41:H45" si="2">G41*1.23</f>
        <v>830.25</v>
      </c>
      <c r="I41" s="192"/>
      <c r="J41" s="192"/>
      <c r="K41" s="19"/>
    </row>
    <row r="42" spans="1:15" x14ac:dyDescent="0.25">
      <c r="A42" s="19"/>
      <c r="B42" s="66" t="s">
        <v>77</v>
      </c>
      <c r="C42" s="47">
        <v>7</v>
      </c>
      <c r="D42" s="73" t="s">
        <v>73</v>
      </c>
      <c r="E42" s="46">
        <v>200</v>
      </c>
      <c r="F42" s="46">
        <f t="shared" si="0"/>
        <v>246</v>
      </c>
      <c r="G42" s="46">
        <f t="shared" si="1"/>
        <v>1400</v>
      </c>
      <c r="H42" s="46">
        <f t="shared" si="2"/>
        <v>1722</v>
      </c>
      <c r="I42" s="192"/>
      <c r="J42" s="192"/>
      <c r="K42" s="19"/>
    </row>
    <row r="43" spans="1:15" x14ac:dyDescent="0.25">
      <c r="A43" s="19"/>
      <c r="B43" s="66" t="s">
        <v>70</v>
      </c>
      <c r="C43" s="47">
        <v>161</v>
      </c>
      <c r="D43" s="73" t="s">
        <v>72</v>
      </c>
      <c r="E43" s="46">
        <v>1.46</v>
      </c>
      <c r="F43" s="46">
        <f t="shared" si="0"/>
        <v>1.7957999999999998</v>
      </c>
      <c r="G43" s="46">
        <f t="shared" si="1"/>
        <v>235.06</v>
      </c>
      <c r="H43" s="46">
        <f t="shared" si="2"/>
        <v>289.12380000000002</v>
      </c>
      <c r="I43" s="192"/>
      <c r="J43" s="192"/>
      <c r="K43" s="19"/>
    </row>
    <row r="44" spans="1:15" x14ac:dyDescent="0.25">
      <c r="A44" s="19"/>
      <c r="B44" s="66" t="s">
        <v>68</v>
      </c>
      <c r="C44" s="47">
        <v>161</v>
      </c>
      <c r="D44" s="73" t="s">
        <v>72</v>
      </c>
      <c r="E44" s="46">
        <v>3.25</v>
      </c>
      <c r="F44" s="46">
        <f t="shared" si="0"/>
        <v>3.9975000000000001</v>
      </c>
      <c r="G44" s="46">
        <f t="shared" si="1"/>
        <v>523.25</v>
      </c>
      <c r="H44" s="46">
        <f t="shared" si="2"/>
        <v>643.59749999999997</v>
      </c>
      <c r="I44" s="192"/>
      <c r="J44" s="192"/>
      <c r="K44" s="19"/>
    </row>
    <row r="45" spans="1:15" x14ac:dyDescent="0.25">
      <c r="A45" s="19"/>
      <c r="B45" s="63" t="s">
        <v>67</v>
      </c>
      <c r="C45" s="64">
        <v>210</v>
      </c>
      <c r="D45" s="74" t="s">
        <v>72</v>
      </c>
      <c r="E45" s="65">
        <v>1.59</v>
      </c>
      <c r="F45" s="65">
        <f t="shared" si="0"/>
        <v>1.9557</v>
      </c>
      <c r="G45" s="65">
        <f t="shared" si="1"/>
        <v>333.90000000000003</v>
      </c>
      <c r="H45" s="65">
        <f t="shared" si="2"/>
        <v>410.69700000000006</v>
      </c>
      <c r="I45" s="191"/>
      <c r="J45" s="191"/>
      <c r="K45" s="19"/>
    </row>
    <row r="46" spans="1:15" x14ac:dyDescent="0.25">
      <c r="A46" s="19"/>
      <c r="B46" s="59" t="s">
        <v>76</v>
      </c>
      <c r="C46" s="59" t="s">
        <v>69</v>
      </c>
      <c r="D46" s="59" t="s">
        <v>71</v>
      </c>
      <c r="E46" s="59" t="s">
        <v>74</v>
      </c>
      <c r="F46" s="59" t="s">
        <v>79</v>
      </c>
      <c r="G46" s="59" t="s">
        <v>80</v>
      </c>
      <c r="H46" s="59" t="s">
        <v>81</v>
      </c>
      <c r="I46" s="23" t="s">
        <v>17</v>
      </c>
      <c r="J46" s="25" t="s">
        <v>18</v>
      </c>
      <c r="K46" s="19"/>
    </row>
    <row r="47" spans="1:15" x14ac:dyDescent="0.25">
      <c r="A47" s="19"/>
      <c r="B47" s="60" t="s">
        <v>88</v>
      </c>
      <c r="C47" s="61">
        <v>36</v>
      </c>
      <c r="D47" s="72" t="s">
        <v>73</v>
      </c>
      <c r="E47" s="62">
        <v>4.88</v>
      </c>
      <c r="F47" s="62">
        <f>E47*1.23</f>
        <v>6.0023999999999997</v>
      </c>
      <c r="G47" s="62">
        <f>E47*C47</f>
        <v>175.68</v>
      </c>
      <c r="H47" s="62">
        <f>G47*1.23</f>
        <v>216.0864</v>
      </c>
      <c r="I47" s="190">
        <f>SUM(G47:G56)</f>
        <v>1290.4099999999999</v>
      </c>
      <c r="J47" s="190">
        <f>SUM(H47:H56)</f>
        <v>1587.2042999999999</v>
      </c>
      <c r="K47" s="19"/>
    </row>
    <row r="48" spans="1:15" x14ac:dyDescent="0.25">
      <c r="A48" s="19"/>
      <c r="B48" s="66" t="s">
        <v>87</v>
      </c>
      <c r="C48" s="47">
        <v>36</v>
      </c>
      <c r="D48" s="73" t="s">
        <v>73</v>
      </c>
      <c r="E48" s="46">
        <v>1.8</v>
      </c>
      <c r="F48" s="46">
        <f t="shared" ref="F48:F56" si="3">E48*1.23</f>
        <v>2.214</v>
      </c>
      <c r="G48" s="46">
        <f t="shared" ref="G48:G56" si="4">E48*C48</f>
        <v>64.8</v>
      </c>
      <c r="H48" s="46">
        <f t="shared" ref="H48:H56" si="5">G48*1.23</f>
        <v>79.703999999999994</v>
      </c>
      <c r="I48" s="192"/>
      <c r="J48" s="192"/>
      <c r="K48" s="19"/>
    </row>
    <row r="49" spans="1:11" x14ac:dyDescent="0.25">
      <c r="A49" s="19"/>
      <c r="B49" s="66" t="s">
        <v>86</v>
      </c>
      <c r="C49" s="47">
        <v>12</v>
      </c>
      <c r="D49" s="73" t="s">
        <v>73</v>
      </c>
      <c r="E49" s="46">
        <v>14.25</v>
      </c>
      <c r="F49" s="46">
        <f t="shared" si="3"/>
        <v>17.5275</v>
      </c>
      <c r="G49" s="46">
        <f t="shared" si="4"/>
        <v>171</v>
      </c>
      <c r="H49" s="46">
        <f t="shared" si="5"/>
        <v>210.32999999999998</v>
      </c>
      <c r="I49" s="192"/>
      <c r="J49" s="192"/>
      <c r="K49" s="19"/>
    </row>
    <row r="50" spans="1:11" x14ac:dyDescent="0.25">
      <c r="A50" s="19"/>
      <c r="B50" s="66" t="s">
        <v>82</v>
      </c>
      <c r="C50" s="47">
        <v>18</v>
      </c>
      <c r="D50" s="73" t="s">
        <v>73</v>
      </c>
      <c r="E50" s="46">
        <v>2.4</v>
      </c>
      <c r="F50" s="46">
        <f t="shared" si="3"/>
        <v>2.952</v>
      </c>
      <c r="G50" s="46">
        <f t="shared" si="4"/>
        <v>43.199999999999996</v>
      </c>
      <c r="H50" s="46">
        <f t="shared" si="5"/>
        <v>53.135999999999996</v>
      </c>
      <c r="I50" s="192"/>
      <c r="J50" s="192"/>
      <c r="K50" s="19"/>
    </row>
    <row r="51" spans="1:11" x14ac:dyDescent="0.25">
      <c r="A51" s="19"/>
      <c r="B51" s="66" t="s">
        <v>83</v>
      </c>
      <c r="C51" s="47">
        <v>9</v>
      </c>
      <c r="D51" s="73" t="s">
        <v>73</v>
      </c>
      <c r="E51" s="46">
        <v>0.45</v>
      </c>
      <c r="F51" s="46">
        <f t="shared" si="3"/>
        <v>0.55349999999999999</v>
      </c>
      <c r="G51" s="46">
        <f t="shared" si="4"/>
        <v>4.05</v>
      </c>
      <c r="H51" s="46">
        <f t="shared" si="5"/>
        <v>4.9814999999999996</v>
      </c>
      <c r="I51" s="192"/>
      <c r="J51" s="192"/>
      <c r="K51" s="19"/>
    </row>
    <row r="52" spans="1:11" x14ac:dyDescent="0.25">
      <c r="A52" s="19"/>
      <c r="B52" s="66" t="s">
        <v>84</v>
      </c>
      <c r="C52" s="47">
        <v>1</v>
      </c>
      <c r="D52" s="73" t="s">
        <v>73</v>
      </c>
      <c r="E52" s="46">
        <v>25</v>
      </c>
      <c r="F52" s="46">
        <f t="shared" si="3"/>
        <v>30.75</v>
      </c>
      <c r="G52" s="46">
        <f t="shared" si="4"/>
        <v>25</v>
      </c>
      <c r="H52" s="46">
        <f t="shared" si="5"/>
        <v>30.75</v>
      </c>
      <c r="I52" s="192"/>
      <c r="J52" s="192"/>
      <c r="K52" s="19"/>
    </row>
    <row r="53" spans="1:11" x14ac:dyDescent="0.25">
      <c r="A53" s="19"/>
      <c r="B53" s="66" t="s">
        <v>85</v>
      </c>
      <c r="C53" s="47">
        <v>2</v>
      </c>
      <c r="D53" s="73" t="s">
        <v>73</v>
      </c>
      <c r="E53" s="46">
        <v>0.7</v>
      </c>
      <c r="F53" s="46">
        <f t="shared" si="3"/>
        <v>0.86099999999999999</v>
      </c>
      <c r="G53" s="46">
        <f t="shared" si="4"/>
        <v>1.4</v>
      </c>
      <c r="H53" s="46">
        <f t="shared" si="5"/>
        <v>1.722</v>
      </c>
      <c r="I53" s="192"/>
      <c r="J53" s="192"/>
      <c r="K53" s="19"/>
    </row>
    <row r="54" spans="1:11" x14ac:dyDescent="0.25">
      <c r="A54" s="19"/>
      <c r="B54" s="66" t="s">
        <v>89</v>
      </c>
      <c r="C54" s="47">
        <v>1</v>
      </c>
      <c r="D54" s="73" t="s">
        <v>73</v>
      </c>
      <c r="E54" s="46">
        <v>10</v>
      </c>
      <c r="F54" s="46">
        <f t="shared" si="3"/>
        <v>12.3</v>
      </c>
      <c r="G54" s="46">
        <f t="shared" si="4"/>
        <v>10</v>
      </c>
      <c r="H54" s="46">
        <f t="shared" si="5"/>
        <v>12.3</v>
      </c>
      <c r="I54" s="192"/>
      <c r="J54" s="192"/>
      <c r="K54" s="19"/>
    </row>
    <row r="55" spans="1:11" x14ac:dyDescent="0.25">
      <c r="A55" s="19"/>
      <c r="B55" s="66" t="s">
        <v>90</v>
      </c>
      <c r="C55" s="47">
        <v>4</v>
      </c>
      <c r="D55" s="73" t="s">
        <v>73</v>
      </c>
      <c r="E55" s="46">
        <v>1.22</v>
      </c>
      <c r="F55" s="46">
        <f t="shared" si="3"/>
        <v>1.5005999999999999</v>
      </c>
      <c r="G55" s="46">
        <f t="shared" si="4"/>
        <v>4.88</v>
      </c>
      <c r="H55" s="46">
        <f t="shared" si="5"/>
        <v>6.0023999999999997</v>
      </c>
      <c r="I55" s="192"/>
      <c r="J55" s="192"/>
      <c r="K55" s="19"/>
    </row>
    <row r="56" spans="1:11" x14ac:dyDescent="0.25">
      <c r="A56" s="19"/>
      <c r="B56" s="63" t="s">
        <v>91</v>
      </c>
      <c r="C56" s="64">
        <v>8</v>
      </c>
      <c r="D56" s="74" t="s">
        <v>73</v>
      </c>
      <c r="E56" s="65">
        <v>98.8</v>
      </c>
      <c r="F56" s="65">
        <f t="shared" si="3"/>
        <v>121.524</v>
      </c>
      <c r="G56" s="65">
        <f t="shared" si="4"/>
        <v>790.4</v>
      </c>
      <c r="H56" s="65">
        <f t="shared" si="5"/>
        <v>972.19200000000001</v>
      </c>
      <c r="I56" s="191"/>
      <c r="J56" s="191"/>
      <c r="K56" s="19"/>
    </row>
    <row r="57" spans="1:11" x14ac:dyDescent="0.25">
      <c r="A57" s="19"/>
      <c r="B57" s="81"/>
      <c r="C57" s="82"/>
      <c r="D57" s="82"/>
      <c r="E57" s="83"/>
      <c r="F57" s="83"/>
      <c r="G57" s="83"/>
      <c r="H57" s="83"/>
      <c r="I57" s="84"/>
      <c r="J57" s="85"/>
      <c r="K57" s="19"/>
    </row>
    <row r="58" spans="1:11" x14ac:dyDescent="0.25">
      <c r="A58" s="19"/>
      <c r="B58" s="184" t="s">
        <v>105</v>
      </c>
      <c r="C58" s="185"/>
      <c r="D58" s="185"/>
      <c r="E58" s="185"/>
      <c r="F58" s="185"/>
      <c r="G58" s="185"/>
      <c r="H58" s="185"/>
      <c r="I58" s="151" t="s">
        <v>103</v>
      </c>
      <c r="J58" s="156"/>
      <c r="K58" s="19"/>
    </row>
    <row r="59" spans="1:11" ht="15" customHeight="1" x14ac:dyDescent="0.25">
      <c r="A59" s="19"/>
      <c r="B59" s="187"/>
      <c r="C59" s="188"/>
      <c r="D59" s="188"/>
      <c r="E59" s="188"/>
      <c r="F59" s="188"/>
      <c r="G59" s="188"/>
      <c r="H59" s="188"/>
      <c r="I59" s="196">
        <v>0.12</v>
      </c>
      <c r="J59" s="197"/>
      <c r="K59" s="19"/>
    </row>
    <row r="60" spans="1:11" x14ac:dyDescent="0.25">
      <c r="A60" s="19"/>
      <c r="B60" s="198" t="s">
        <v>106</v>
      </c>
      <c r="C60" s="199"/>
      <c r="D60" s="199"/>
      <c r="E60" s="199"/>
      <c r="F60" s="199"/>
      <c r="G60" s="199"/>
      <c r="H60" s="200"/>
      <c r="I60" s="56" t="s">
        <v>17</v>
      </c>
      <c r="J60" s="25" t="s">
        <v>18</v>
      </c>
      <c r="K60" s="19"/>
    </row>
    <row r="61" spans="1:11" x14ac:dyDescent="0.25">
      <c r="A61" s="19"/>
      <c r="B61" s="201"/>
      <c r="C61" s="202"/>
      <c r="D61" s="202"/>
      <c r="E61" s="202"/>
      <c r="F61" s="202"/>
      <c r="G61" s="202"/>
      <c r="H61" s="203"/>
      <c r="I61" s="11">
        <f>(I40+I47)*1.12</f>
        <v>5093.3344000000006</v>
      </c>
      <c r="J61" s="11">
        <f>I61*1.23</f>
        <v>6264.8013120000005</v>
      </c>
      <c r="K61" s="19"/>
    </row>
    <row r="62" spans="1:11" ht="15" customHeight="1" x14ac:dyDescent="0.25">
      <c r="A62" s="19"/>
      <c r="B62" s="86"/>
      <c r="C62" s="86"/>
      <c r="D62" s="86"/>
      <c r="E62" s="86"/>
      <c r="F62" s="86"/>
      <c r="G62" s="86"/>
      <c r="H62" s="86"/>
      <c r="I62" s="87"/>
      <c r="J62" s="87"/>
      <c r="K62" s="19"/>
    </row>
    <row r="63" spans="1:11" x14ac:dyDescent="0.25">
      <c r="A63" s="19"/>
      <c r="B63" s="193" t="s">
        <v>95</v>
      </c>
      <c r="C63" s="194"/>
      <c r="D63" s="194"/>
      <c r="E63" s="194"/>
      <c r="F63" s="194"/>
      <c r="G63" s="194"/>
      <c r="H63" s="194"/>
      <c r="I63" s="194"/>
      <c r="J63" s="195"/>
      <c r="K63" s="19"/>
    </row>
    <row r="64" spans="1:11" x14ac:dyDescent="0.25">
      <c r="A64" s="19"/>
      <c r="B64" s="59" t="s">
        <v>76</v>
      </c>
      <c r="C64" s="59" t="s">
        <v>69</v>
      </c>
      <c r="D64" s="59" t="s">
        <v>71</v>
      </c>
      <c r="E64" s="59" t="s">
        <v>74</v>
      </c>
      <c r="F64" s="59" t="s">
        <v>79</v>
      </c>
      <c r="G64" s="59" t="s">
        <v>80</v>
      </c>
      <c r="H64" s="59" t="s">
        <v>81</v>
      </c>
      <c r="I64" s="23" t="s">
        <v>17</v>
      </c>
      <c r="J64" s="25" t="s">
        <v>18</v>
      </c>
      <c r="K64" s="19"/>
    </row>
    <row r="65" spans="1:11" x14ac:dyDescent="0.25">
      <c r="A65" s="19"/>
      <c r="B65" s="60" t="s">
        <v>92</v>
      </c>
      <c r="C65" s="61">
        <v>1</v>
      </c>
      <c r="D65" s="72" t="s">
        <v>73</v>
      </c>
      <c r="E65" s="62">
        <v>2400</v>
      </c>
      <c r="F65" s="62">
        <f>E65*1.23</f>
        <v>2952</v>
      </c>
      <c r="G65" s="62">
        <f>E65*C65</f>
        <v>2400</v>
      </c>
      <c r="H65" s="62">
        <f>G65*1.23</f>
        <v>2952</v>
      </c>
      <c r="I65" s="190">
        <f>G65+G66</f>
        <v>2700</v>
      </c>
      <c r="J65" s="190">
        <f>H65+H66</f>
        <v>3321</v>
      </c>
      <c r="K65" s="19"/>
    </row>
    <row r="66" spans="1:11" x14ac:dyDescent="0.25">
      <c r="A66" s="19"/>
      <c r="B66" s="63" t="s">
        <v>93</v>
      </c>
      <c r="C66" s="64">
        <v>1</v>
      </c>
      <c r="D66" s="74" t="s">
        <v>73</v>
      </c>
      <c r="E66" s="65">
        <v>300</v>
      </c>
      <c r="F66" s="65">
        <f>E66*1.23</f>
        <v>369</v>
      </c>
      <c r="G66" s="65">
        <f>E66*C66</f>
        <v>300</v>
      </c>
      <c r="H66" s="65">
        <f>G66*1.23</f>
        <v>369</v>
      </c>
      <c r="I66" s="191"/>
      <c r="J66" s="191"/>
      <c r="K66" s="19"/>
    </row>
    <row r="67" spans="1:11" x14ac:dyDescent="0.25">
      <c r="A67" s="19"/>
      <c r="B67" s="19"/>
      <c r="C67" s="19"/>
      <c r="D67" s="19"/>
      <c r="E67" s="19"/>
      <c r="F67" s="19"/>
      <c r="G67" s="19"/>
      <c r="H67" s="19"/>
      <c r="I67" s="19"/>
      <c r="J67" s="19"/>
      <c r="K67" s="19"/>
    </row>
    <row r="68" spans="1:11" x14ac:dyDescent="0.25">
      <c r="A68" s="19"/>
      <c r="B68" s="184" t="s">
        <v>108</v>
      </c>
      <c r="C68" s="185"/>
      <c r="D68" s="185"/>
      <c r="E68" s="185"/>
      <c r="F68" s="185"/>
      <c r="G68" s="185"/>
      <c r="H68" s="186"/>
      <c r="I68" s="23" t="s">
        <v>17</v>
      </c>
      <c r="J68" s="25" t="s">
        <v>18</v>
      </c>
      <c r="K68" s="19"/>
    </row>
    <row r="69" spans="1:11" x14ac:dyDescent="0.25">
      <c r="A69" s="19"/>
      <c r="B69" s="187"/>
      <c r="C69" s="188"/>
      <c r="D69" s="188"/>
      <c r="E69" s="188"/>
      <c r="F69" s="188"/>
      <c r="G69" s="188"/>
      <c r="H69" s="189"/>
      <c r="I69" s="67">
        <f>G37+I61+I65</f>
        <v>8424.4002500000006</v>
      </c>
      <c r="J69" s="67">
        <f>I69*1.23</f>
        <v>10362.012307500001</v>
      </c>
      <c r="K69" s="19"/>
    </row>
    <row r="70" spans="1:11" x14ac:dyDescent="0.25">
      <c r="A70" s="19"/>
      <c r="B70" s="19"/>
      <c r="C70" s="19"/>
      <c r="D70" s="19"/>
      <c r="E70" s="19"/>
      <c r="F70" s="19"/>
      <c r="G70" s="19"/>
      <c r="H70" s="19"/>
      <c r="I70" s="19"/>
      <c r="J70" s="19"/>
      <c r="K70" s="19"/>
    </row>
  </sheetData>
  <mergeCells count="51">
    <mergeCell ref="I65:I66"/>
    <mergeCell ref="J65:J66"/>
    <mergeCell ref="B38:J38"/>
    <mergeCell ref="I40:I45"/>
    <mergeCell ref="J40:J45"/>
    <mergeCell ref="I47:I56"/>
    <mergeCell ref="J47:J56"/>
    <mergeCell ref="B63:J63"/>
    <mergeCell ref="I59:J59"/>
    <mergeCell ref="B60:H61"/>
    <mergeCell ref="B58:H59"/>
    <mergeCell ref="I58:J58"/>
    <mergeCell ref="B35:B37"/>
    <mergeCell ref="C35:D35"/>
    <mergeCell ref="E35:F35"/>
    <mergeCell ref="G35:J35"/>
    <mergeCell ref="G36:H36"/>
    <mergeCell ref="I36:J36"/>
    <mergeCell ref="G37:H37"/>
    <mergeCell ref="I37:J37"/>
    <mergeCell ref="B30:B31"/>
    <mergeCell ref="C30:E31"/>
    <mergeCell ref="G30:H30"/>
    <mergeCell ref="I30:J30"/>
    <mergeCell ref="F31:F32"/>
    <mergeCell ref="G31:H32"/>
    <mergeCell ref="I31:J31"/>
    <mergeCell ref="B32:B33"/>
    <mergeCell ref="C32:E33"/>
    <mergeCell ref="G33:H33"/>
    <mergeCell ref="C11:E11"/>
    <mergeCell ref="C12:E12"/>
    <mergeCell ref="C13:E13"/>
    <mergeCell ref="C14:E14"/>
    <mergeCell ref="B15:J15"/>
    <mergeCell ref="B2:B4"/>
    <mergeCell ref="C2:D4"/>
    <mergeCell ref="E2:J4"/>
    <mergeCell ref="B68:H69"/>
    <mergeCell ref="C29:E29"/>
    <mergeCell ref="G29:H29"/>
    <mergeCell ref="I29:J29"/>
    <mergeCell ref="B5:J5"/>
    <mergeCell ref="B7:J7"/>
    <mergeCell ref="B8:B10"/>
    <mergeCell ref="C8:E10"/>
    <mergeCell ref="G8:J8"/>
    <mergeCell ref="F9:F10"/>
    <mergeCell ref="G9:H9"/>
    <mergeCell ref="I9:J9"/>
    <mergeCell ref="B6:J6"/>
  </mergeCells>
  <conditionalFormatting sqref="C17:F27">
    <cfRule type="containsBlanks" dxfId="3" priority="1">
      <formula>LEN(TRIM(C17))=0</formula>
    </cfRule>
  </conditionalFormatting>
  <conditionalFormatting sqref="I30:J30">
    <cfRule type="containsBlanks" dxfId="2" priority="2">
      <formula>LEN(TRIM(I30))=0</formula>
    </cfRule>
  </conditionalFormatting>
  <dataValidations disablePrompts="1" count="2">
    <dataValidation type="list" allowBlank="1" showInputMessage="1" showErrorMessage="1" sqref="C17:C27" xr:uid="{449254DE-143C-487A-8375-955E627AAB81}">
      <mc:AlternateContent xmlns:x12ac="http://schemas.microsoft.com/office/spreadsheetml/2011/1/ac" xmlns:mc="http://schemas.openxmlformats.org/markup-compatibility/2006">
        <mc:Choice Requires="x12ac">
          <x12ac:list>"1,0","1,5","2,0"</x12ac:list>
        </mc:Choice>
        <mc:Fallback>
          <formula1>"1,0,1,5,2,0"</formula1>
        </mc:Fallback>
      </mc:AlternateContent>
    </dataValidation>
    <dataValidation type="list" allowBlank="1" showInputMessage="1" showErrorMessage="1" sqref="F11:F13 F30" xr:uid="{1D01930D-A484-47A3-83BB-FB72302A3E30}">
      <formula1>"TAK,NIE"</formula1>
    </dataValidation>
  </dataValidations>
  <pageMargins left="0.70866141732283472" right="0.70866141732283472" top="0.74803149606299213" bottom="0.74803149606299213" header="0.31496062992125984" footer="0.31496062992125984"/>
  <pageSetup paperSize="9" scale="92" fitToHeight="0" orientation="landscape" horizontalDpi="0" verticalDpi="0" r:id="rId1"/>
  <headerFooter>
    <oddFooter>&amp;R&amp;P</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B4033-DAF4-4E52-9E78-DE02075ACBC9}">
  <sheetPr>
    <pageSetUpPr fitToPage="1"/>
  </sheetPr>
  <dimension ref="A1:O91"/>
  <sheetViews>
    <sheetView zoomScale="120" zoomScaleNormal="120" workbookViewId="0">
      <selection activeCell="I14" sqref="I14"/>
    </sheetView>
  </sheetViews>
  <sheetFormatPr defaultRowHeight="15" x14ac:dyDescent="0.25"/>
  <cols>
    <col min="1" max="1" width="4.7109375" customWidth="1"/>
    <col min="2" max="2" width="30.28515625" customWidth="1"/>
    <col min="3" max="10" width="12.7109375" customWidth="1"/>
    <col min="11" max="11" width="4.7109375" customWidth="1"/>
  </cols>
  <sheetData>
    <row r="1" spans="1:15" x14ac:dyDescent="0.25">
      <c r="A1" s="19"/>
      <c r="B1" s="19"/>
      <c r="C1" s="19"/>
      <c r="D1" s="19"/>
      <c r="E1" s="19"/>
      <c r="F1" s="19"/>
      <c r="G1" s="19"/>
      <c r="H1" s="19"/>
      <c r="I1" s="19"/>
      <c r="J1" s="19"/>
      <c r="K1" s="19"/>
    </row>
    <row r="2" spans="1:15" ht="27" customHeight="1" x14ac:dyDescent="0.25">
      <c r="A2" s="19"/>
      <c r="B2" s="108"/>
      <c r="C2" s="111" t="s">
        <v>0</v>
      </c>
      <c r="D2" s="111"/>
      <c r="E2" s="164" t="s">
        <v>44</v>
      </c>
      <c r="F2" s="164"/>
      <c r="G2" s="164"/>
      <c r="H2" s="164"/>
      <c r="I2" s="164"/>
      <c r="J2" s="164"/>
      <c r="K2" s="19"/>
    </row>
    <row r="3" spans="1:15" ht="27" customHeight="1" x14ac:dyDescent="0.25">
      <c r="A3" s="19"/>
      <c r="B3" s="109"/>
      <c r="C3" s="111"/>
      <c r="D3" s="111"/>
      <c r="E3" s="165"/>
      <c r="F3" s="165"/>
      <c r="G3" s="165"/>
      <c r="H3" s="165"/>
      <c r="I3" s="165"/>
      <c r="J3" s="165"/>
      <c r="K3" s="19"/>
    </row>
    <row r="4" spans="1:15" ht="27" customHeight="1" x14ac:dyDescent="0.25">
      <c r="A4" s="19"/>
      <c r="B4" s="110"/>
      <c r="C4" s="111"/>
      <c r="D4" s="111"/>
      <c r="E4" s="166"/>
      <c r="F4" s="166"/>
      <c r="G4" s="166"/>
      <c r="H4" s="166"/>
      <c r="I4" s="166"/>
      <c r="J4" s="166"/>
      <c r="K4" s="19"/>
    </row>
    <row r="5" spans="1:15" ht="27" customHeight="1" x14ac:dyDescent="0.25">
      <c r="A5" s="19"/>
      <c r="B5" s="151" t="s">
        <v>64</v>
      </c>
      <c r="C5" s="152"/>
      <c r="D5" s="152"/>
      <c r="E5" s="152"/>
      <c r="F5" s="152"/>
      <c r="G5" s="152"/>
      <c r="H5" s="152"/>
      <c r="I5" s="152"/>
      <c r="J5" s="156"/>
      <c r="K5" s="19"/>
    </row>
    <row r="6" spans="1:15" ht="170.1" customHeight="1" x14ac:dyDescent="0.25">
      <c r="A6" s="19"/>
      <c r="B6" s="151"/>
      <c r="C6" s="152"/>
      <c r="D6" s="152"/>
      <c r="E6" s="152"/>
      <c r="F6" s="152"/>
      <c r="G6" s="152"/>
      <c r="H6" s="152"/>
      <c r="I6" s="152"/>
      <c r="J6" s="156"/>
      <c r="K6" s="19"/>
    </row>
    <row r="7" spans="1:15" ht="27" customHeight="1" x14ac:dyDescent="0.25">
      <c r="A7" s="19"/>
      <c r="B7" s="151" t="s">
        <v>45</v>
      </c>
      <c r="C7" s="152"/>
      <c r="D7" s="152"/>
      <c r="E7" s="152"/>
      <c r="F7" s="152"/>
      <c r="G7" s="152"/>
      <c r="H7" s="152"/>
      <c r="I7" s="152"/>
      <c r="J7" s="156"/>
      <c r="K7" s="19"/>
    </row>
    <row r="8" spans="1:15" ht="27" customHeight="1" x14ac:dyDescent="0.25">
      <c r="A8" s="19"/>
      <c r="B8" s="115" t="s">
        <v>4</v>
      </c>
      <c r="C8" s="115" t="s">
        <v>5</v>
      </c>
      <c r="D8" s="115"/>
      <c r="E8" s="115"/>
      <c r="F8" s="8" t="str">
        <f>IF(AND(F11="NIE",F12="NIE",F13="NIE"),"WARIANT 0",IF(AND(F11="TAK",F12="NIE",F13="NIE"),"WARIANT 1",IF(AND(F11="NIE",F12="TAK",F13="NIE"),"WARIANT 2",IF(AND(F11="NIE",F12="NIE",F13="TAK"),"WARIANT 3",IF(AND(F11="TAK",F12="TAK",F13="NIE"),"WARIANT 4",IF(AND(F11="TAK",F12="NIE",F13="TAK"),"WARIANT 5",IF(AND(F11="NIE",F12="TAK",F13="TAK"),"WARIANT 6","WARIANT 7")))))))</f>
        <v>WARIANT 4</v>
      </c>
      <c r="G8" s="115" t="s">
        <v>8</v>
      </c>
      <c r="H8" s="115"/>
      <c r="I8" s="115"/>
      <c r="J8" s="115"/>
      <c r="K8" s="19"/>
    </row>
    <row r="9" spans="1:15" ht="27" customHeight="1" x14ac:dyDescent="0.25">
      <c r="A9" s="19"/>
      <c r="B9" s="115"/>
      <c r="C9" s="115"/>
      <c r="D9" s="115"/>
      <c r="E9" s="115"/>
      <c r="F9" s="121" t="s">
        <v>28</v>
      </c>
      <c r="G9" s="120" t="s">
        <v>15</v>
      </c>
      <c r="H9" s="120"/>
      <c r="I9" s="120" t="s">
        <v>16</v>
      </c>
      <c r="J9" s="120"/>
      <c r="K9" s="19"/>
    </row>
    <row r="10" spans="1:15" ht="27" customHeight="1" x14ac:dyDescent="0.25">
      <c r="A10" s="19"/>
      <c r="B10" s="115"/>
      <c r="C10" s="115"/>
      <c r="D10" s="115"/>
      <c r="E10" s="115"/>
      <c r="F10" s="121"/>
      <c r="G10" s="23" t="s">
        <v>17</v>
      </c>
      <c r="H10" s="23" t="s">
        <v>18</v>
      </c>
      <c r="I10" s="23" t="s">
        <v>17</v>
      </c>
      <c r="J10" s="23" t="s">
        <v>18</v>
      </c>
      <c r="K10" s="19"/>
    </row>
    <row r="11" spans="1:15" ht="69.95" customHeight="1" x14ac:dyDescent="0.25">
      <c r="A11" s="19"/>
      <c r="B11" s="9" t="s">
        <v>1</v>
      </c>
      <c r="C11" s="119" t="s">
        <v>12</v>
      </c>
      <c r="D11" s="119"/>
      <c r="E11" s="119"/>
      <c r="F11" s="12" t="s">
        <v>9</v>
      </c>
      <c r="G11" s="13">
        <v>40</v>
      </c>
      <c r="H11" s="14">
        <v>49.2</v>
      </c>
      <c r="I11" s="14">
        <v>30</v>
      </c>
      <c r="J11" s="14">
        <v>36.9</v>
      </c>
      <c r="K11" s="19"/>
    </row>
    <row r="12" spans="1:15" ht="69.95" customHeight="1" x14ac:dyDescent="0.25">
      <c r="A12" s="19"/>
      <c r="B12" s="9" t="s">
        <v>2</v>
      </c>
      <c r="C12" s="119" t="s">
        <v>6</v>
      </c>
      <c r="D12" s="119"/>
      <c r="E12" s="119"/>
      <c r="F12" s="12" t="s">
        <v>9</v>
      </c>
      <c r="G12" s="13">
        <v>105</v>
      </c>
      <c r="H12" s="14">
        <v>129.15</v>
      </c>
      <c r="I12" s="14">
        <v>80</v>
      </c>
      <c r="J12" s="14">
        <v>98.4</v>
      </c>
      <c r="K12" s="19"/>
    </row>
    <row r="13" spans="1:15" ht="69.95" customHeight="1" x14ac:dyDescent="0.25">
      <c r="A13" s="19"/>
      <c r="B13" s="9" t="s">
        <v>3</v>
      </c>
      <c r="C13" s="119" t="s">
        <v>7</v>
      </c>
      <c r="D13" s="119"/>
      <c r="E13" s="119"/>
      <c r="F13" s="12" t="s">
        <v>10</v>
      </c>
      <c r="G13" s="15">
        <v>40</v>
      </c>
      <c r="H13" s="16">
        <v>49.2</v>
      </c>
      <c r="I13" s="16">
        <v>30</v>
      </c>
      <c r="J13" s="16">
        <v>36.9</v>
      </c>
      <c r="K13" s="19"/>
    </row>
    <row r="14" spans="1:15" ht="69.95" customHeight="1" x14ac:dyDescent="0.25">
      <c r="A14" s="19"/>
      <c r="B14" s="9" t="s">
        <v>11</v>
      </c>
      <c r="C14" s="119" t="s">
        <v>13</v>
      </c>
      <c r="D14" s="119"/>
      <c r="E14" s="119"/>
      <c r="F14" s="45">
        <f>SUM(Tabela24672[[WYNIK ]])</f>
        <v>12.582089999999999</v>
      </c>
      <c r="G14" s="10">
        <f>$F$14*IF($F$8="WARIANT 1",G11,IF($F$8="WARIANT 2",G12,IF($F$8="WARIANT 3",G13,0)))</f>
        <v>0</v>
      </c>
      <c r="H14" s="11">
        <f>$F$14*IF($F$8="WARIANT 1",H11,IF($F$8="WARIANT 2",H12,IF($F$8="WARIANT 3",H13,0)))</f>
        <v>0</v>
      </c>
      <c r="I14" s="11">
        <f>$F$14*IF($F$8="WARIANT 4",I11+I12,IF($F$8="WARIANT 5",I11+I13,IF($F$8="WARIANT 6",I12+I13,IF(F8="WARIANT 7",I11+I12+I13,0))))</f>
        <v>1384.0299</v>
      </c>
      <c r="J14" s="11">
        <f>$F$14*IF($F$8="WARIANT 4",J11+J12,IF($F$8="WARIANT 5",J11+J13,IF($F$8="WARIANT 6",J12+J13,IF(F8="WARIANT 7",J11+J12+J13,0))))</f>
        <v>1702.356777</v>
      </c>
      <c r="K14" s="19"/>
      <c r="O14" s="1"/>
    </row>
    <row r="15" spans="1:15" ht="15" customHeight="1" x14ac:dyDescent="0.25">
      <c r="A15" s="19"/>
      <c r="B15" s="116"/>
      <c r="C15" s="117"/>
      <c r="D15" s="117"/>
      <c r="E15" s="117"/>
      <c r="F15" s="117"/>
      <c r="G15" s="117"/>
      <c r="H15" s="117"/>
      <c r="I15" s="117"/>
      <c r="J15" s="118"/>
      <c r="K15" s="19"/>
      <c r="O15" s="1"/>
    </row>
    <row r="16" spans="1:15" ht="30" customHeight="1" x14ac:dyDescent="0.25">
      <c r="A16" s="19"/>
      <c r="B16" s="2" t="s">
        <v>14</v>
      </c>
      <c r="C16" s="4" t="s">
        <v>20</v>
      </c>
      <c r="D16" s="5" t="s">
        <v>22</v>
      </c>
      <c r="E16" s="5" t="s">
        <v>19</v>
      </c>
      <c r="F16" s="5" t="s">
        <v>23</v>
      </c>
      <c r="G16" s="5" t="s">
        <v>21</v>
      </c>
      <c r="H16" s="5" t="s">
        <v>24</v>
      </c>
      <c r="I16" s="5" t="s">
        <v>25</v>
      </c>
      <c r="J16" s="5" t="s">
        <v>29</v>
      </c>
      <c r="K16" s="19"/>
    </row>
    <row r="17" spans="1:15" x14ac:dyDescent="0.25">
      <c r="A17" s="19"/>
      <c r="B17" s="33" t="s">
        <v>100</v>
      </c>
      <c r="C17" s="6">
        <v>1.5</v>
      </c>
      <c r="D17">
        <v>412</v>
      </c>
      <c r="E17">
        <v>268</v>
      </c>
      <c r="F17">
        <v>60</v>
      </c>
      <c r="G17" s="37">
        <v>1</v>
      </c>
      <c r="H17" s="38">
        <f>Tabela24672[[#This Row],[SZEROKOŚĆ 
'[CM']]]*Tabela24672[[#This Row],[WYSOKOŚĆ 
'[CM']]]*Tabela24672[[#This Row],[GŁĘBOKOŚĆ 
'[CM']]]</f>
        <v>6624960</v>
      </c>
      <c r="I17" s="38">
        <f>Tabela24672[[#This Row],[OBJĘTOŚĆ 
'[CM^3']]]/1000000</f>
        <v>6.6249599999999997</v>
      </c>
      <c r="J17" s="39">
        <f>Tabela24672[[#This Row],[WSPÓŁCZYNNIK 
'[1.0 - 2.0']]]*Tabela24672[[#This Row],[ILOŚĆ 
'[SZT']]]*Tabela24672[[#This Row],[OBJĘTOŚĆ 
'[M^3']]]</f>
        <v>9.9374399999999987</v>
      </c>
      <c r="K17" s="19"/>
    </row>
    <row r="18" spans="1:15" x14ac:dyDescent="0.25">
      <c r="A18" s="19"/>
      <c r="B18" s="75" t="s">
        <v>101</v>
      </c>
      <c r="C18" s="76">
        <v>1.5</v>
      </c>
      <c r="D18" s="77">
        <v>134</v>
      </c>
      <c r="E18" s="77">
        <v>90</v>
      </c>
      <c r="F18" s="77">
        <v>60</v>
      </c>
      <c r="G18" s="78">
        <v>1</v>
      </c>
      <c r="H18" s="77">
        <f>Tabela24672[[#This Row],[SZEROKOŚĆ 
'[CM']]]*Tabela24672[[#This Row],[WYSOKOŚĆ 
'[CM']]]*Tabela24672[[#This Row],[GŁĘBOKOŚĆ 
'[CM']]]</f>
        <v>723600</v>
      </c>
      <c r="I18" s="77">
        <f>Tabela24672[[#This Row],[OBJĘTOŚĆ 
'[CM^3']]]/1000000</f>
        <v>0.72360000000000002</v>
      </c>
      <c r="J18" s="79">
        <f>Tabela24672[[#This Row],[WSPÓŁCZYNNIK 
'[1.0 - 2.0']]]*Tabela24672[[#This Row],[ILOŚĆ 
'[SZT']]]*Tabela24672[[#This Row],[OBJĘTOŚĆ 
'[M^3']]]</f>
        <v>1.0853999999999999</v>
      </c>
      <c r="K18" s="19"/>
    </row>
    <row r="19" spans="1:15" x14ac:dyDescent="0.25">
      <c r="A19" s="19"/>
      <c r="B19" s="35" t="s">
        <v>102</v>
      </c>
      <c r="C19" s="57">
        <v>1.5</v>
      </c>
      <c r="D19" s="58">
        <v>154</v>
      </c>
      <c r="E19" s="58">
        <v>90</v>
      </c>
      <c r="F19">
        <v>75</v>
      </c>
      <c r="G19" s="40">
        <v>1</v>
      </c>
      <c r="H19">
        <f>Tabela24672[[#This Row],[SZEROKOŚĆ 
'[CM']]]*Tabela24672[[#This Row],[WYSOKOŚĆ 
'[CM']]]*Tabela24672[[#This Row],[GŁĘBOKOŚĆ 
'[CM']]]</f>
        <v>1039500</v>
      </c>
      <c r="I19">
        <f>Tabela24672[[#This Row],[OBJĘTOŚĆ 
'[CM^3']]]/1000000</f>
        <v>1.0395000000000001</v>
      </c>
      <c r="J19" s="41">
        <f>Tabela24672[[#This Row],[WSPÓŁCZYNNIK 
'[1.0 - 2.0']]]*Tabela24672[[#This Row],[ILOŚĆ 
'[SZT']]]*Tabela24672[[#This Row],[OBJĘTOŚĆ 
'[M^3']]]</f>
        <v>1.55925</v>
      </c>
      <c r="K19" s="19"/>
    </row>
    <row r="20" spans="1:15" hidden="1" x14ac:dyDescent="0.25">
      <c r="A20" s="19"/>
      <c r="B20" s="34"/>
      <c r="C20" s="6"/>
      <c r="G20" s="40">
        <v>1</v>
      </c>
      <c r="H20">
        <f>Tabela24672[[#This Row],[SZEROKOŚĆ 
'[CM']]]*Tabela24672[[#This Row],[WYSOKOŚĆ 
'[CM']]]*Tabela24672[[#This Row],[GŁĘBOKOŚĆ 
'[CM']]]</f>
        <v>0</v>
      </c>
      <c r="I20">
        <f>Tabela24672[[#This Row],[OBJĘTOŚĆ 
'[CM^3']]]/1000000</f>
        <v>0</v>
      </c>
      <c r="J20" s="41">
        <f>Tabela24672[[#This Row],[WSPÓŁCZYNNIK 
'[1.0 - 2.0']]]*Tabela24672[[#This Row],[ILOŚĆ 
'[SZT']]]*Tabela24672[[#This Row],[OBJĘTOŚĆ 
'[M^3']]]</f>
        <v>0</v>
      </c>
      <c r="K20" s="19"/>
    </row>
    <row r="21" spans="1:15" hidden="1" x14ac:dyDescent="0.25">
      <c r="A21" s="19"/>
      <c r="B21" s="34"/>
      <c r="C21" s="6"/>
      <c r="G21" s="40">
        <v>1</v>
      </c>
      <c r="H21">
        <f>Tabela24672[[#This Row],[SZEROKOŚĆ 
'[CM']]]*Tabela24672[[#This Row],[WYSOKOŚĆ 
'[CM']]]*Tabela24672[[#This Row],[GŁĘBOKOŚĆ 
'[CM']]]</f>
        <v>0</v>
      </c>
      <c r="I21">
        <f>Tabela24672[[#This Row],[OBJĘTOŚĆ 
'[CM^3']]]/1000000</f>
        <v>0</v>
      </c>
      <c r="J21" s="41">
        <f>Tabela24672[[#This Row],[WSPÓŁCZYNNIK 
'[1.0 - 2.0']]]*Tabela24672[[#This Row],[ILOŚĆ 
'[SZT']]]*Tabela24672[[#This Row],[OBJĘTOŚĆ 
'[M^3']]]</f>
        <v>0</v>
      </c>
      <c r="K21" s="19"/>
    </row>
    <row r="22" spans="1:15" hidden="1" x14ac:dyDescent="0.25">
      <c r="A22" s="19"/>
      <c r="B22" s="34"/>
      <c r="C22" s="6"/>
      <c r="G22" s="40">
        <v>1</v>
      </c>
      <c r="H22">
        <f>Tabela24672[[#This Row],[SZEROKOŚĆ 
'[CM']]]*Tabela24672[[#This Row],[WYSOKOŚĆ 
'[CM']]]*Tabela24672[[#This Row],[GŁĘBOKOŚĆ 
'[CM']]]</f>
        <v>0</v>
      </c>
      <c r="I22">
        <f>Tabela24672[[#This Row],[OBJĘTOŚĆ 
'[CM^3']]]/1000000</f>
        <v>0</v>
      </c>
      <c r="J22" s="41">
        <f>Tabela24672[[#This Row],[WSPÓŁCZYNNIK 
'[1.0 - 2.0']]]*Tabela24672[[#This Row],[ILOŚĆ 
'[SZT']]]*Tabela24672[[#This Row],[OBJĘTOŚĆ 
'[M^3']]]</f>
        <v>0</v>
      </c>
      <c r="K22" s="19"/>
    </row>
    <row r="23" spans="1:15" hidden="1" x14ac:dyDescent="0.25">
      <c r="A23" s="19"/>
      <c r="B23" s="34"/>
      <c r="C23" s="6"/>
      <c r="G23" s="40">
        <v>1</v>
      </c>
      <c r="H23">
        <f>Tabela24672[[#This Row],[SZEROKOŚĆ 
'[CM']]]*Tabela24672[[#This Row],[WYSOKOŚĆ 
'[CM']]]*Tabela24672[[#This Row],[GŁĘBOKOŚĆ 
'[CM']]]</f>
        <v>0</v>
      </c>
      <c r="I23">
        <f>Tabela24672[[#This Row],[OBJĘTOŚĆ 
'[CM^3']]]/1000000</f>
        <v>0</v>
      </c>
      <c r="J23" s="41">
        <f>Tabela24672[[#This Row],[WSPÓŁCZYNNIK 
'[1.0 - 2.0']]]*Tabela24672[[#This Row],[ILOŚĆ 
'[SZT']]]*Tabela24672[[#This Row],[OBJĘTOŚĆ 
'[M^3']]]</f>
        <v>0</v>
      </c>
      <c r="K23" s="19"/>
    </row>
    <row r="24" spans="1:15" hidden="1" x14ac:dyDescent="0.25">
      <c r="A24" s="19"/>
      <c r="B24" s="34"/>
      <c r="C24" s="6"/>
      <c r="G24" s="40">
        <v>1</v>
      </c>
      <c r="H24">
        <f>Tabela24672[[#This Row],[SZEROKOŚĆ 
'[CM']]]*Tabela24672[[#This Row],[WYSOKOŚĆ 
'[CM']]]*Tabela24672[[#This Row],[GŁĘBOKOŚĆ 
'[CM']]]</f>
        <v>0</v>
      </c>
      <c r="I24">
        <f>Tabela24672[[#This Row],[OBJĘTOŚĆ 
'[CM^3']]]/1000000</f>
        <v>0</v>
      </c>
      <c r="J24" s="41">
        <f>Tabela24672[[#This Row],[WSPÓŁCZYNNIK 
'[1.0 - 2.0']]]*Tabela24672[[#This Row],[ILOŚĆ 
'[SZT']]]*Tabela24672[[#This Row],[OBJĘTOŚĆ 
'[M^3']]]</f>
        <v>0</v>
      </c>
      <c r="K24" s="19"/>
    </row>
    <row r="25" spans="1:15" hidden="1" x14ac:dyDescent="0.25">
      <c r="A25" s="19"/>
      <c r="B25" s="34"/>
      <c r="C25" s="6"/>
      <c r="G25" s="40">
        <v>1</v>
      </c>
      <c r="H25">
        <f>Tabela24672[[#This Row],[SZEROKOŚĆ 
'[CM']]]*Tabela24672[[#This Row],[WYSOKOŚĆ 
'[CM']]]*Tabela24672[[#This Row],[GŁĘBOKOŚĆ 
'[CM']]]</f>
        <v>0</v>
      </c>
      <c r="I25">
        <f>Tabela24672[[#This Row],[OBJĘTOŚĆ 
'[CM^3']]]/1000000</f>
        <v>0</v>
      </c>
      <c r="J25" s="41">
        <f>Tabela24672[[#This Row],[WSPÓŁCZYNNIK 
'[1.0 - 2.0']]]*Tabela24672[[#This Row],[ILOŚĆ 
'[SZT']]]*Tabela24672[[#This Row],[OBJĘTOŚĆ 
'[M^3']]]</f>
        <v>0</v>
      </c>
      <c r="K25" s="19"/>
    </row>
    <row r="26" spans="1:15" hidden="1" x14ac:dyDescent="0.25">
      <c r="A26" s="19"/>
      <c r="B26" s="34"/>
      <c r="C26" s="6"/>
      <c r="G26" s="40">
        <v>1</v>
      </c>
      <c r="H26">
        <f>Tabela24672[[#This Row],[SZEROKOŚĆ 
'[CM']]]*Tabela24672[[#This Row],[WYSOKOŚĆ 
'[CM']]]*Tabela24672[[#This Row],[GŁĘBOKOŚĆ 
'[CM']]]</f>
        <v>0</v>
      </c>
      <c r="I26">
        <f>Tabela24672[[#This Row],[OBJĘTOŚĆ 
'[CM^3']]]/1000000</f>
        <v>0</v>
      </c>
      <c r="J26" s="41">
        <f>Tabela24672[[#This Row],[WSPÓŁCZYNNIK 
'[1.0 - 2.0']]]*Tabela24672[[#This Row],[ILOŚĆ 
'[SZT']]]*Tabela24672[[#This Row],[OBJĘTOŚĆ 
'[M^3']]]</f>
        <v>0</v>
      </c>
      <c r="K26" s="19"/>
    </row>
    <row r="27" spans="1:15" hidden="1" x14ac:dyDescent="0.25">
      <c r="A27" s="19"/>
      <c r="B27" s="36"/>
      <c r="C27" s="6"/>
      <c r="G27" s="42">
        <v>1</v>
      </c>
      <c r="H27" s="43">
        <f>Tabela24672[[#This Row],[SZEROKOŚĆ 
'[CM']]]*Tabela24672[[#This Row],[WYSOKOŚĆ 
'[CM']]]*Tabela24672[[#This Row],[GŁĘBOKOŚĆ 
'[CM']]]</f>
        <v>0</v>
      </c>
      <c r="I27" s="43">
        <f>Tabela24672[[#This Row],[OBJĘTOŚĆ 
'[CM^3']]]/1000000</f>
        <v>0</v>
      </c>
      <c r="J27" s="44">
        <f>Tabela24672[[#This Row],[WSPÓŁCZYNNIK 
'[1.0 - 2.0']]]*Tabela24672[[#This Row],[ILOŚĆ 
'[SZT']]]*Tabela24672[[#This Row],[OBJĘTOŚĆ 
'[M^3']]]</f>
        <v>0</v>
      </c>
      <c r="K27" s="19"/>
    </row>
    <row r="28" spans="1:15" ht="15" customHeight="1" x14ac:dyDescent="0.25">
      <c r="A28" s="19"/>
      <c r="B28" s="19"/>
      <c r="C28" s="19"/>
      <c r="D28" s="19"/>
      <c r="E28" s="19"/>
      <c r="F28" s="19"/>
      <c r="G28" s="19"/>
      <c r="H28" s="19"/>
      <c r="I28" s="19"/>
      <c r="J28" s="19"/>
      <c r="K28" s="19"/>
    </row>
    <row r="29" spans="1:15" ht="54" customHeight="1" x14ac:dyDescent="0.25">
      <c r="A29" s="19"/>
      <c r="B29" s="23" t="s">
        <v>35</v>
      </c>
      <c r="C29" s="134" t="s">
        <v>5</v>
      </c>
      <c r="D29" s="134"/>
      <c r="E29" s="134"/>
      <c r="F29" s="24" t="s">
        <v>28</v>
      </c>
      <c r="G29" s="124" t="s">
        <v>40</v>
      </c>
      <c r="H29" s="124"/>
      <c r="I29" s="124" t="s">
        <v>32</v>
      </c>
      <c r="J29" s="124"/>
      <c r="K29" s="19"/>
    </row>
    <row r="30" spans="1:15" ht="69.95" customHeight="1" x14ac:dyDescent="0.25">
      <c r="A30" s="19"/>
      <c r="B30" s="126" t="s">
        <v>30</v>
      </c>
      <c r="C30" s="135" t="s">
        <v>41</v>
      </c>
      <c r="D30" s="136"/>
      <c r="E30" s="137"/>
      <c r="F30" s="12" t="s">
        <v>9</v>
      </c>
      <c r="G30" s="125">
        <v>100</v>
      </c>
      <c r="H30" s="125"/>
      <c r="I30" s="123">
        <v>50</v>
      </c>
      <c r="J30" s="123"/>
      <c r="K30" s="19"/>
      <c r="O30" s="1"/>
    </row>
    <row r="31" spans="1:15" ht="27" customHeight="1" x14ac:dyDescent="0.25">
      <c r="A31" s="19"/>
      <c r="B31" s="127"/>
      <c r="C31" s="138"/>
      <c r="D31" s="139"/>
      <c r="E31" s="140"/>
      <c r="F31" s="141" t="s">
        <v>33</v>
      </c>
      <c r="G31" s="142" t="s">
        <v>36</v>
      </c>
      <c r="H31" s="142"/>
      <c r="I31" s="124" t="s">
        <v>34</v>
      </c>
      <c r="J31" s="124"/>
      <c r="K31" s="19"/>
      <c r="O31" s="1"/>
    </row>
    <row r="32" spans="1:15" ht="27" customHeight="1" x14ac:dyDescent="0.25">
      <c r="A32" s="19"/>
      <c r="B32" s="126" t="s">
        <v>31</v>
      </c>
      <c r="C32" s="128" t="s">
        <v>42</v>
      </c>
      <c r="D32" s="129"/>
      <c r="E32" s="130"/>
      <c r="F32" s="141"/>
      <c r="G32" s="142"/>
      <c r="H32" s="142"/>
      <c r="I32" s="25" t="s">
        <v>17</v>
      </c>
      <c r="J32" s="25" t="s">
        <v>18</v>
      </c>
      <c r="K32" s="19"/>
      <c r="O32" s="1"/>
    </row>
    <row r="33" spans="1:15" ht="69.95" customHeight="1" x14ac:dyDescent="0.25">
      <c r="A33" s="19"/>
      <c r="B33" s="127"/>
      <c r="C33" s="131"/>
      <c r="D33" s="132"/>
      <c r="E33" s="133"/>
      <c r="F33" s="32">
        <f>SUM(Tabela24672[WSPÓŁCZYNNIK 
'[1.0 - 2.0']])</f>
        <v>4.5</v>
      </c>
      <c r="G33" s="122">
        <v>2.2999999999999998</v>
      </c>
      <c r="H33" s="122"/>
      <c r="I33" s="11">
        <f>IF(F30="TAK",(G30*F33+I30*G33),0)</f>
        <v>565</v>
      </c>
      <c r="J33" s="11">
        <f>I33*1.23</f>
        <v>694.95</v>
      </c>
      <c r="K33" s="19"/>
      <c r="O33" s="1"/>
    </row>
    <row r="34" spans="1:15" ht="15" customHeight="1" x14ac:dyDescent="0.25">
      <c r="A34" s="19"/>
      <c r="B34" s="17"/>
      <c r="C34" s="20"/>
      <c r="D34" s="20"/>
      <c r="E34" s="20"/>
      <c r="F34" s="28"/>
      <c r="G34" s="29"/>
      <c r="H34" s="29"/>
      <c r="I34" s="21"/>
      <c r="J34" s="21"/>
      <c r="K34" s="19"/>
      <c r="O34" s="1"/>
    </row>
    <row r="35" spans="1:15" ht="27" customHeight="1" x14ac:dyDescent="0.25">
      <c r="A35" s="19"/>
      <c r="B35" s="143" t="s">
        <v>39</v>
      </c>
      <c r="C35" s="121" t="s">
        <v>37</v>
      </c>
      <c r="D35" s="121"/>
      <c r="E35" s="121" t="s">
        <v>35</v>
      </c>
      <c r="F35" s="121"/>
      <c r="G35" s="124" t="s">
        <v>38</v>
      </c>
      <c r="H35" s="124"/>
      <c r="I35" s="124"/>
      <c r="J35" s="124"/>
      <c r="K35" s="19"/>
      <c r="O35" s="1"/>
    </row>
    <row r="36" spans="1:15" ht="27" customHeight="1" x14ac:dyDescent="0.25">
      <c r="A36" s="19"/>
      <c r="B36" s="144"/>
      <c r="C36" s="25" t="s">
        <v>17</v>
      </c>
      <c r="D36" s="25" t="s">
        <v>18</v>
      </c>
      <c r="E36" s="25" t="s">
        <v>17</v>
      </c>
      <c r="F36" s="25" t="s">
        <v>18</v>
      </c>
      <c r="G36" s="124" t="s">
        <v>17</v>
      </c>
      <c r="H36" s="124"/>
      <c r="I36" s="150" t="s">
        <v>18</v>
      </c>
      <c r="J36" s="150"/>
      <c r="K36" s="19"/>
      <c r="O36" s="1"/>
    </row>
    <row r="37" spans="1:15" ht="27" customHeight="1" x14ac:dyDescent="0.25">
      <c r="A37" s="19"/>
      <c r="B37" s="145"/>
      <c r="C37" s="31">
        <f>G14+I14</f>
        <v>1384.0299</v>
      </c>
      <c r="D37" s="31">
        <f>H14+J14</f>
        <v>1702.356777</v>
      </c>
      <c r="E37" s="31">
        <f>IF(F30="TAK",(G30*F33+I30*G33),0)</f>
        <v>565</v>
      </c>
      <c r="F37" s="30">
        <f>I33*1.23</f>
        <v>694.95</v>
      </c>
      <c r="G37" s="146">
        <f>C37+E37</f>
        <v>1949.0299</v>
      </c>
      <c r="H37" s="147"/>
      <c r="I37" s="148">
        <f>D37+F37</f>
        <v>2397.3067769999998</v>
      </c>
      <c r="J37" s="149"/>
      <c r="K37" s="19"/>
      <c r="O37" s="1"/>
    </row>
    <row r="38" spans="1:15" ht="27" customHeight="1" x14ac:dyDescent="0.25">
      <c r="A38" s="19"/>
      <c r="B38" s="158" t="s">
        <v>94</v>
      </c>
      <c r="C38" s="158"/>
      <c r="D38" s="158"/>
      <c r="E38" s="158"/>
      <c r="F38" s="158"/>
      <c r="G38" s="158"/>
      <c r="H38" s="158"/>
      <c r="I38" s="158"/>
      <c r="J38" s="158"/>
      <c r="K38" s="19"/>
    </row>
    <row r="39" spans="1:15" x14ac:dyDescent="0.25">
      <c r="A39" s="19"/>
      <c r="B39" s="59" t="s">
        <v>75</v>
      </c>
      <c r="C39" s="59" t="s">
        <v>69</v>
      </c>
      <c r="D39" s="59" t="s">
        <v>71</v>
      </c>
      <c r="E39" s="59" t="s">
        <v>74</v>
      </c>
      <c r="F39" s="59" t="s">
        <v>79</v>
      </c>
      <c r="G39" s="59" t="s">
        <v>80</v>
      </c>
      <c r="H39" s="59" t="s">
        <v>81</v>
      </c>
      <c r="I39" s="23" t="s">
        <v>17</v>
      </c>
      <c r="J39" s="25" t="s">
        <v>18</v>
      </c>
      <c r="K39" s="19"/>
    </row>
    <row r="40" spans="1:15" x14ac:dyDescent="0.25">
      <c r="A40" s="19"/>
      <c r="B40" s="61" t="s">
        <v>66</v>
      </c>
      <c r="C40" s="61">
        <v>1.5</v>
      </c>
      <c r="D40" s="72" t="s">
        <v>73</v>
      </c>
      <c r="E40" s="46">
        <v>45</v>
      </c>
      <c r="F40" s="46">
        <f>E40*1.23</f>
        <v>55.35</v>
      </c>
      <c r="G40" s="46">
        <f>C40*E40</f>
        <v>67.5</v>
      </c>
      <c r="H40" s="46">
        <f>G40*1.23</f>
        <v>83.025000000000006</v>
      </c>
      <c r="I40" s="190">
        <f>SUM(G40:G53)</f>
        <v>8276.7899999999991</v>
      </c>
      <c r="J40" s="190">
        <f>SUM(H40:H53)</f>
        <v>10180.451699999998</v>
      </c>
      <c r="K40" s="19"/>
    </row>
    <row r="41" spans="1:15" x14ac:dyDescent="0.25">
      <c r="A41" s="19"/>
      <c r="B41" s="88" t="s">
        <v>114</v>
      </c>
      <c r="C41" s="47">
        <v>1.5</v>
      </c>
      <c r="D41" s="73" t="s">
        <v>73</v>
      </c>
      <c r="E41" s="46">
        <v>170</v>
      </c>
      <c r="F41" s="46">
        <f t="shared" ref="F41:F43" si="0">E41*1.23</f>
        <v>209.1</v>
      </c>
      <c r="G41" s="46">
        <f t="shared" ref="G41:G43" si="1">C41*E41</f>
        <v>255</v>
      </c>
      <c r="H41" s="46">
        <f t="shared" ref="H41:H43" si="2">G41*1.23</f>
        <v>313.64999999999998</v>
      </c>
      <c r="I41" s="205"/>
      <c r="J41" s="205"/>
      <c r="K41" s="19"/>
    </row>
    <row r="42" spans="1:15" x14ac:dyDescent="0.25">
      <c r="A42" s="19"/>
      <c r="B42" s="89" t="s">
        <v>111</v>
      </c>
      <c r="C42" s="47">
        <v>6</v>
      </c>
      <c r="D42" s="73" t="s">
        <v>73</v>
      </c>
      <c r="E42" s="46">
        <v>170</v>
      </c>
      <c r="F42" s="46">
        <f t="shared" si="0"/>
        <v>209.1</v>
      </c>
      <c r="G42" s="46">
        <f t="shared" si="1"/>
        <v>1020</v>
      </c>
      <c r="H42" s="46">
        <f t="shared" si="2"/>
        <v>1254.5999999999999</v>
      </c>
      <c r="I42" s="205"/>
      <c r="J42" s="205"/>
      <c r="K42" s="19"/>
    </row>
    <row r="43" spans="1:15" x14ac:dyDescent="0.25">
      <c r="A43" s="19"/>
      <c r="B43" s="47" t="s">
        <v>110</v>
      </c>
      <c r="C43" s="47">
        <v>7</v>
      </c>
      <c r="D43" s="73" t="s">
        <v>73</v>
      </c>
      <c r="E43" s="46">
        <v>200</v>
      </c>
      <c r="F43" s="46">
        <f t="shared" si="0"/>
        <v>246</v>
      </c>
      <c r="G43" s="46">
        <f t="shared" si="1"/>
        <v>1400</v>
      </c>
      <c r="H43" s="46">
        <f t="shared" si="2"/>
        <v>1722</v>
      </c>
      <c r="I43" s="205"/>
      <c r="J43" s="205"/>
      <c r="K43" s="19"/>
    </row>
    <row r="44" spans="1:15" x14ac:dyDescent="0.25">
      <c r="A44" s="19"/>
      <c r="B44" s="47" t="s">
        <v>109</v>
      </c>
      <c r="C44" s="47">
        <v>1.5</v>
      </c>
      <c r="D44" s="73" t="s">
        <v>73</v>
      </c>
      <c r="E44" s="46">
        <v>270</v>
      </c>
      <c r="F44" s="46">
        <f t="shared" ref="F44:F53" si="3">E44*1.23</f>
        <v>332.1</v>
      </c>
      <c r="G44" s="46">
        <f t="shared" ref="G44:G53" si="4">C44*E44</f>
        <v>405</v>
      </c>
      <c r="H44" s="46">
        <f t="shared" ref="H44:H53" si="5">G44*1.23</f>
        <v>498.15</v>
      </c>
      <c r="I44" s="192"/>
      <c r="J44" s="192"/>
      <c r="K44" s="19"/>
    </row>
    <row r="45" spans="1:15" x14ac:dyDescent="0.25">
      <c r="A45" s="19"/>
      <c r="B45" s="89" t="s">
        <v>115</v>
      </c>
      <c r="C45" s="47">
        <v>1</v>
      </c>
      <c r="D45" s="73" t="s">
        <v>73</v>
      </c>
      <c r="E45" s="46">
        <v>353</v>
      </c>
      <c r="F45" s="46">
        <f t="shared" si="3"/>
        <v>434.19</v>
      </c>
      <c r="G45" s="46">
        <f t="shared" si="4"/>
        <v>353</v>
      </c>
      <c r="H45" s="46">
        <f t="shared" si="5"/>
        <v>434.19</v>
      </c>
      <c r="I45" s="192"/>
      <c r="J45" s="192"/>
      <c r="K45" s="19"/>
    </row>
    <row r="46" spans="1:15" x14ac:dyDescent="0.25">
      <c r="A46" s="19"/>
      <c r="B46" s="89" t="s">
        <v>116</v>
      </c>
      <c r="C46" s="47">
        <v>1</v>
      </c>
      <c r="D46" s="73" t="s">
        <v>73</v>
      </c>
      <c r="E46" s="46">
        <v>625</v>
      </c>
      <c r="F46" s="46">
        <f t="shared" si="3"/>
        <v>768.75</v>
      </c>
      <c r="G46" s="46">
        <f t="shared" si="4"/>
        <v>625</v>
      </c>
      <c r="H46" s="46">
        <f t="shared" si="5"/>
        <v>768.75</v>
      </c>
      <c r="I46" s="192"/>
      <c r="J46" s="192"/>
      <c r="K46" s="19"/>
    </row>
    <row r="47" spans="1:15" x14ac:dyDescent="0.25">
      <c r="A47" s="19"/>
      <c r="B47" s="89" t="s">
        <v>118</v>
      </c>
      <c r="C47" s="47">
        <v>1</v>
      </c>
      <c r="D47" s="73" t="s">
        <v>73</v>
      </c>
      <c r="E47" s="46">
        <v>130</v>
      </c>
      <c r="F47" s="46">
        <f t="shared" si="3"/>
        <v>159.9</v>
      </c>
      <c r="G47" s="46">
        <f t="shared" si="4"/>
        <v>130</v>
      </c>
      <c r="H47" s="46">
        <f t="shared" si="5"/>
        <v>159.9</v>
      </c>
      <c r="I47" s="192"/>
      <c r="J47" s="192"/>
      <c r="K47" s="19"/>
    </row>
    <row r="48" spans="1:15" x14ac:dyDescent="0.25">
      <c r="A48" s="19"/>
      <c r="B48" s="89" t="s">
        <v>112</v>
      </c>
      <c r="C48" s="47">
        <v>7.85</v>
      </c>
      <c r="D48" s="73" t="s">
        <v>113</v>
      </c>
      <c r="E48" s="46">
        <v>317</v>
      </c>
      <c r="F48" s="46">
        <f t="shared" si="3"/>
        <v>389.90999999999997</v>
      </c>
      <c r="G48" s="46">
        <f t="shared" si="4"/>
        <v>2488.4499999999998</v>
      </c>
      <c r="H48" s="46">
        <f t="shared" si="5"/>
        <v>3060.7934999999998</v>
      </c>
      <c r="I48" s="192"/>
      <c r="J48" s="192"/>
      <c r="K48" s="19"/>
    </row>
    <row r="49" spans="1:11" x14ac:dyDescent="0.25">
      <c r="A49" s="19"/>
      <c r="B49" s="47" t="s">
        <v>70</v>
      </c>
      <c r="C49" s="47">
        <v>215</v>
      </c>
      <c r="D49" s="73" t="s">
        <v>72</v>
      </c>
      <c r="E49" s="46">
        <v>1.46</v>
      </c>
      <c r="F49" s="46">
        <f t="shared" si="3"/>
        <v>1.7957999999999998</v>
      </c>
      <c r="G49" s="46">
        <f t="shared" si="4"/>
        <v>313.89999999999998</v>
      </c>
      <c r="H49" s="46">
        <f t="shared" si="5"/>
        <v>386.09699999999998</v>
      </c>
      <c r="I49" s="192"/>
      <c r="J49" s="192"/>
      <c r="K49" s="19"/>
    </row>
    <row r="50" spans="1:11" x14ac:dyDescent="0.25">
      <c r="A50" s="19"/>
      <c r="B50" s="47" t="s">
        <v>120</v>
      </c>
      <c r="C50" s="47">
        <v>4</v>
      </c>
      <c r="D50" s="73" t="s">
        <v>72</v>
      </c>
      <c r="E50" s="46">
        <v>5.9</v>
      </c>
      <c r="F50" s="46">
        <f t="shared" si="3"/>
        <v>7.2570000000000006</v>
      </c>
      <c r="G50" s="46">
        <f t="shared" si="4"/>
        <v>23.6</v>
      </c>
      <c r="H50" s="46">
        <f t="shared" si="5"/>
        <v>29.028000000000002</v>
      </c>
      <c r="I50" s="192"/>
      <c r="J50" s="192"/>
      <c r="K50" s="19"/>
    </row>
    <row r="51" spans="1:11" x14ac:dyDescent="0.25">
      <c r="A51" s="19"/>
      <c r="B51" s="47" t="s">
        <v>117</v>
      </c>
      <c r="C51" s="47">
        <v>215</v>
      </c>
      <c r="D51" s="73" t="s">
        <v>72</v>
      </c>
      <c r="E51" s="46">
        <v>3.25</v>
      </c>
      <c r="F51" s="46">
        <f t="shared" si="3"/>
        <v>3.9975000000000001</v>
      </c>
      <c r="G51" s="46">
        <f t="shared" si="4"/>
        <v>698.75</v>
      </c>
      <c r="H51" s="46">
        <f t="shared" si="5"/>
        <v>859.46249999999998</v>
      </c>
      <c r="I51" s="192"/>
      <c r="J51" s="192"/>
      <c r="K51" s="19"/>
    </row>
    <row r="52" spans="1:11" x14ac:dyDescent="0.25">
      <c r="A52" s="19"/>
      <c r="B52" s="47" t="s">
        <v>119</v>
      </c>
      <c r="C52" s="47">
        <v>4</v>
      </c>
      <c r="D52" s="73" t="s">
        <v>72</v>
      </c>
      <c r="E52" s="46">
        <v>4.5</v>
      </c>
      <c r="F52" s="46">
        <f t="shared" si="3"/>
        <v>5.5350000000000001</v>
      </c>
      <c r="G52" s="46">
        <f t="shared" si="4"/>
        <v>18</v>
      </c>
      <c r="H52" s="46">
        <f t="shared" si="5"/>
        <v>22.14</v>
      </c>
      <c r="I52" s="192"/>
      <c r="J52" s="192"/>
      <c r="K52" s="19"/>
    </row>
    <row r="53" spans="1:11" x14ac:dyDescent="0.25">
      <c r="A53" s="19"/>
      <c r="B53" s="47" t="s">
        <v>67</v>
      </c>
      <c r="C53" s="47">
        <v>301</v>
      </c>
      <c r="D53" s="73" t="s">
        <v>72</v>
      </c>
      <c r="E53" s="46">
        <v>1.59</v>
      </c>
      <c r="F53" s="46">
        <f t="shared" si="3"/>
        <v>1.9557</v>
      </c>
      <c r="G53" s="46">
        <f t="shared" si="4"/>
        <v>478.59000000000003</v>
      </c>
      <c r="H53" s="46">
        <f t="shared" si="5"/>
        <v>588.66570000000002</v>
      </c>
      <c r="I53" s="191"/>
      <c r="J53" s="191"/>
      <c r="K53" s="19"/>
    </row>
    <row r="54" spans="1:11" x14ac:dyDescent="0.25">
      <c r="A54" s="19"/>
      <c r="B54" s="59" t="s">
        <v>76</v>
      </c>
      <c r="C54" s="59" t="s">
        <v>69</v>
      </c>
      <c r="D54" s="59" t="s">
        <v>71</v>
      </c>
      <c r="E54" s="59" t="s">
        <v>74</v>
      </c>
      <c r="F54" s="59" t="s">
        <v>79</v>
      </c>
      <c r="G54" s="59" t="s">
        <v>80</v>
      </c>
      <c r="H54" s="59" t="s">
        <v>81</v>
      </c>
      <c r="I54" s="23" t="s">
        <v>17</v>
      </c>
      <c r="J54" s="25" t="s">
        <v>18</v>
      </c>
      <c r="K54" s="19"/>
    </row>
    <row r="55" spans="1:11" x14ac:dyDescent="0.25">
      <c r="A55" s="19"/>
      <c r="B55" s="60" t="s">
        <v>121</v>
      </c>
      <c r="C55" s="61">
        <v>14</v>
      </c>
      <c r="D55" s="72" t="s">
        <v>73</v>
      </c>
      <c r="E55" s="62">
        <v>10.11</v>
      </c>
      <c r="F55" s="62">
        <f>E55*1.23</f>
        <v>12.4353</v>
      </c>
      <c r="G55" s="62">
        <f>E55*C55</f>
        <v>141.54</v>
      </c>
      <c r="H55" s="62">
        <f>G55*1.23</f>
        <v>174.0942</v>
      </c>
      <c r="I55" s="190">
        <f>SUM(G55:G77)</f>
        <v>5493.62</v>
      </c>
      <c r="J55" s="190">
        <f>SUM(H55:H77)</f>
        <v>6757.1526000000003</v>
      </c>
      <c r="K55" s="19"/>
    </row>
    <row r="56" spans="1:11" x14ac:dyDescent="0.25">
      <c r="A56" s="19"/>
      <c r="B56" s="90" t="s">
        <v>134</v>
      </c>
      <c r="C56" s="47">
        <v>2</v>
      </c>
      <c r="D56" s="73" t="s">
        <v>73</v>
      </c>
      <c r="E56" s="46">
        <v>18.84</v>
      </c>
      <c r="F56" s="46">
        <f t="shared" ref="F56:F77" si="6">E56*1.23</f>
        <v>23.173199999999998</v>
      </c>
      <c r="G56" s="46">
        <f t="shared" ref="G56:G77" si="7">E56*C56</f>
        <v>37.68</v>
      </c>
      <c r="H56" s="46">
        <f t="shared" ref="H56:H77" si="8">G56*1.23</f>
        <v>46.346399999999996</v>
      </c>
      <c r="I56" s="205"/>
      <c r="J56" s="205"/>
      <c r="K56" s="19"/>
    </row>
    <row r="57" spans="1:11" x14ac:dyDescent="0.25">
      <c r="A57" s="19"/>
      <c r="B57" s="66" t="s">
        <v>87</v>
      </c>
      <c r="C57" s="47">
        <v>16</v>
      </c>
      <c r="D57" s="73" t="s">
        <v>73</v>
      </c>
      <c r="E57" s="46">
        <v>1.8</v>
      </c>
      <c r="F57" s="46">
        <f t="shared" si="6"/>
        <v>2.214</v>
      </c>
      <c r="G57" s="46">
        <f t="shared" si="7"/>
        <v>28.8</v>
      </c>
      <c r="H57" s="46">
        <f t="shared" si="8"/>
        <v>35.423999999999999</v>
      </c>
      <c r="I57" s="192"/>
      <c r="J57" s="192"/>
      <c r="K57" s="19"/>
    </row>
    <row r="58" spans="1:11" x14ac:dyDescent="0.25">
      <c r="A58" s="19"/>
      <c r="B58" s="66" t="s">
        <v>122</v>
      </c>
      <c r="C58" s="47">
        <v>22</v>
      </c>
      <c r="D58" s="73" t="s">
        <v>73</v>
      </c>
      <c r="E58" s="46">
        <v>14.25</v>
      </c>
      <c r="F58" s="46">
        <f t="shared" si="6"/>
        <v>17.5275</v>
      </c>
      <c r="G58" s="46">
        <f t="shared" si="7"/>
        <v>313.5</v>
      </c>
      <c r="H58" s="46">
        <f t="shared" si="8"/>
        <v>385.60500000000002</v>
      </c>
      <c r="I58" s="192"/>
      <c r="J58" s="192"/>
      <c r="K58" s="19"/>
    </row>
    <row r="59" spans="1:11" x14ac:dyDescent="0.25">
      <c r="A59" s="19"/>
      <c r="B59" s="66" t="s">
        <v>82</v>
      </c>
      <c r="C59" s="47">
        <v>42</v>
      </c>
      <c r="D59" s="73" t="s">
        <v>73</v>
      </c>
      <c r="E59" s="46">
        <v>2.4</v>
      </c>
      <c r="F59" s="46">
        <f t="shared" si="6"/>
        <v>2.952</v>
      </c>
      <c r="G59" s="46">
        <f t="shared" si="7"/>
        <v>100.8</v>
      </c>
      <c r="H59" s="46">
        <f t="shared" si="8"/>
        <v>123.98399999999999</v>
      </c>
      <c r="I59" s="192"/>
      <c r="J59" s="192"/>
      <c r="K59" s="19"/>
    </row>
    <row r="60" spans="1:11" x14ac:dyDescent="0.25">
      <c r="A60" s="19"/>
      <c r="B60" s="66" t="s">
        <v>83</v>
      </c>
      <c r="C60" s="47">
        <v>15</v>
      </c>
      <c r="D60" s="73" t="s">
        <v>73</v>
      </c>
      <c r="E60" s="46">
        <v>0.45</v>
      </c>
      <c r="F60" s="46">
        <f t="shared" si="6"/>
        <v>0.55349999999999999</v>
      </c>
      <c r="G60" s="46">
        <f t="shared" si="7"/>
        <v>6.75</v>
      </c>
      <c r="H60" s="46">
        <f t="shared" si="8"/>
        <v>8.3025000000000002</v>
      </c>
      <c r="I60" s="192"/>
      <c r="J60" s="192"/>
      <c r="K60" s="19"/>
    </row>
    <row r="61" spans="1:11" x14ac:dyDescent="0.25">
      <c r="A61" s="19"/>
      <c r="B61" s="91" t="s">
        <v>124</v>
      </c>
      <c r="C61" s="47">
        <v>3</v>
      </c>
      <c r="D61" s="73" t="s">
        <v>73</v>
      </c>
      <c r="E61" s="46">
        <v>116.2</v>
      </c>
      <c r="F61" s="46">
        <f t="shared" si="6"/>
        <v>142.92599999999999</v>
      </c>
      <c r="G61" s="46">
        <f t="shared" si="7"/>
        <v>348.6</v>
      </c>
      <c r="H61" s="46">
        <f t="shared" si="8"/>
        <v>428.77800000000002</v>
      </c>
      <c r="I61" s="192"/>
      <c r="J61" s="192"/>
      <c r="K61" s="19"/>
    </row>
    <row r="62" spans="1:11" x14ac:dyDescent="0.25">
      <c r="A62" s="19"/>
      <c r="B62" s="91" t="s">
        <v>125</v>
      </c>
      <c r="C62" s="47">
        <v>11</v>
      </c>
      <c r="D62" s="73" t="s">
        <v>73</v>
      </c>
      <c r="E62" s="46">
        <v>138.47999999999999</v>
      </c>
      <c r="F62" s="46">
        <f t="shared" si="6"/>
        <v>170.3304</v>
      </c>
      <c r="G62" s="46">
        <f t="shared" si="7"/>
        <v>1523.28</v>
      </c>
      <c r="H62" s="46">
        <f t="shared" si="8"/>
        <v>1873.6343999999999</v>
      </c>
      <c r="I62" s="192"/>
      <c r="J62" s="192"/>
      <c r="K62" s="19"/>
    </row>
    <row r="63" spans="1:11" x14ac:dyDescent="0.25">
      <c r="A63" s="19"/>
      <c r="B63" s="66" t="s">
        <v>123</v>
      </c>
      <c r="C63" s="47">
        <v>1</v>
      </c>
      <c r="D63" s="73" t="s">
        <v>73</v>
      </c>
      <c r="E63" s="46">
        <v>426.96</v>
      </c>
      <c r="F63" s="46">
        <f t="shared" si="6"/>
        <v>525.16079999999999</v>
      </c>
      <c r="G63" s="46">
        <f t="shared" si="7"/>
        <v>426.96</v>
      </c>
      <c r="H63" s="46">
        <f t="shared" si="8"/>
        <v>525.16079999999999</v>
      </c>
      <c r="I63" s="192"/>
      <c r="J63" s="192"/>
      <c r="K63" s="19"/>
    </row>
    <row r="64" spans="1:11" x14ac:dyDescent="0.25">
      <c r="A64" s="19"/>
      <c r="B64" s="91" t="s">
        <v>131</v>
      </c>
      <c r="C64" s="47">
        <v>6</v>
      </c>
      <c r="D64" s="73" t="s">
        <v>73</v>
      </c>
      <c r="E64" s="46">
        <v>170</v>
      </c>
      <c r="F64" s="46">
        <f t="shared" si="6"/>
        <v>209.1</v>
      </c>
      <c r="G64" s="46">
        <f t="shared" si="7"/>
        <v>1020</v>
      </c>
      <c r="H64" s="46">
        <f t="shared" si="8"/>
        <v>1254.5999999999999</v>
      </c>
      <c r="I64" s="192"/>
      <c r="J64" s="192"/>
      <c r="K64" s="19"/>
    </row>
    <row r="65" spans="1:11" x14ac:dyDescent="0.25">
      <c r="A65" s="19"/>
      <c r="B65" s="91" t="s">
        <v>126</v>
      </c>
      <c r="C65" s="47">
        <v>1</v>
      </c>
      <c r="D65" s="73" t="s">
        <v>73</v>
      </c>
      <c r="E65" s="46">
        <v>1087</v>
      </c>
      <c r="F65" s="46">
        <f t="shared" si="6"/>
        <v>1337.01</v>
      </c>
      <c r="G65" s="46">
        <f t="shared" si="7"/>
        <v>1087</v>
      </c>
      <c r="H65" s="46">
        <f t="shared" si="8"/>
        <v>1337.01</v>
      </c>
      <c r="I65" s="192"/>
      <c r="J65" s="192"/>
      <c r="K65" s="19"/>
    </row>
    <row r="66" spans="1:11" x14ac:dyDescent="0.25">
      <c r="A66" s="19"/>
      <c r="B66" s="91" t="s">
        <v>127</v>
      </c>
      <c r="C66" s="47">
        <v>8</v>
      </c>
      <c r="D66" s="73" t="s">
        <v>73</v>
      </c>
      <c r="E66" s="46">
        <v>7.32</v>
      </c>
      <c r="F66" s="46">
        <f t="shared" si="6"/>
        <v>9.0036000000000005</v>
      </c>
      <c r="G66" s="46">
        <f t="shared" si="7"/>
        <v>58.56</v>
      </c>
      <c r="H66" s="46">
        <f t="shared" si="8"/>
        <v>72.028800000000004</v>
      </c>
      <c r="I66" s="192"/>
      <c r="J66" s="192"/>
      <c r="K66" s="19"/>
    </row>
    <row r="67" spans="1:11" x14ac:dyDescent="0.25">
      <c r="A67" s="19"/>
      <c r="B67" s="91" t="s">
        <v>130</v>
      </c>
      <c r="C67" s="47">
        <v>3</v>
      </c>
      <c r="D67" s="73" t="s">
        <v>73</v>
      </c>
      <c r="E67" s="46">
        <v>10</v>
      </c>
      <c r="F67" s="46">
        <f t="shared" si="6"/>
        <v>12.3</v>
      </c>
      <c r="G67" s="46">
        <f t="shared" si="7"/>
        <v>30</v>
      </c>
      <c r="H67" s="46">
        <f t="shared" si="8"/>
        <v>36.9</v>
      </c>
      <c r="I67" s="192"/>
      <c r="J67" s="192"/>
      <c r="K67" s="19"/>
    </row>
    <row r="68" spans="1:11" x14ac:dyDescent="0.25">
      <c r="A68" s="19"/>
      <c r="B68" s="91" t="s">
        <v>128</v>
      </c>
      <c r="C68" s="47">
        <v>2</v>
      </c>
      <c r="D68" s="73" t="s">
        <v>73</v>
      </c>
      <c r="E68" s="46">
        <v>21.73</v>
      </c>
      <c r="F68" s="46">
        <f t="shared" si="6"/>
        <v>26.727900000000002</v>
      </c>
      <c r="G68" s="46">
        <f t="shared" si="7"/>
        <v>43.46</v>
      </c>
      <c r="H68" s="46">
        <f t="shared" si="8"/>
        <v>53.455800000000004</v>
      </c>
      <c r="I68" s="192"/>
      <c r="J68" s="192"/>
      <c r="K68" s="19"/>
    </row>
    <row r="69" spans="1:11" x14ac:dyDescent="0.25">
      <c r="A69" s="19"/>
      <c r="B69" s="91" t="s">
        <v>132</v>
      </c>
      <c r="C69" s="47">
        <v>1</v>
      </c>
      <c r="D69" s="73" t="s">
        <v>73</v>
      </c>
      <c r="E69" s="46">
        <v>46.15</v>
      </c>
      <c r="F69" s="46">
        <f t="shared" si="6"/>
        <v>56.764499999999998</v>
      </c>
      <c r="G69" s="46">
        <f t="shared" si="7"/>
        <v>46.15</v>
      </c>
      <c r="H69" s="46">
        <f t="shared" si="8"/>
        <v>56.764499999999998</v>
      </c>
      <c r="I69" s="192"/>
      <c r="J69" s="192"/>
      <c r="K69" s="19"/>
    </row>
    <row r="70" spans="1:11" x14ac:dyDescent="0.25">
      <c r="A70" s="19"/>
      <c r="B70" s="91" t="s">
        <v>129</v>
      </c>
      <c r="C70" s="47">
        <v>1</v>
      </c>
      <c r="D70" s="73" t="s">
        <v>73</v>
      </c>
      <c r="E70" s="46">
        <v>70</v>
      </c>
      <c r="F70" s="46">
        <f t="shared" si="6"/>
        <v>86.1</v>
      </c>
      <c r="G70" s="46">
        <f t="shared" si="7"/>
        <v>70</v>
      </c>
      <c r="H70" s="46">
        <f t="shared" si="8"/>
        <v>86.1</v>
      </c>
      <c r="I70" s="192"/>
      <c r="J70" s="192"/>
      <c r="K70" s="19"/>
    </row>
    <row r="71" spans="1:11" x14ac:dyDescent="0.25">
      <c r="A71" s="19"/>
      <c r="B71" s="91" t="s">
        <v>133</v>
      </c>
      <c r="C71" s="47">
        <v>5</v>
      </c>
      <c r="D71" s="73" t="s">
        <v>73</v>
      </c>
      <c r="E71" s="46">
        <v>2</v>
      </c>
      <c r="F71" s="46">
        <f t="shared" si="6"/>
        <v>2.46</v>
      </c>
      <c r="G71" s="46">
        <f t="shared" si="7"/>
        <v>10</v>
      </c>
      <c r="H71" s="46">
        <f t="shared" si="8"/>
        <v>12.3</v>
      </c>
      <c r="I71" s="192"/>
      <c r="J71" s="192"/>
      <c r="K71" s="19"/>
    </row>
    <row r="72" spans="1:11" x14ac:dyDescent="0.25">
      <c r="A72" s="19"/>
      <c r="B72" s="91" t="s">
        <v>135</v>
      </c>
      <c r="C72" s="47">
        <v>1</v>
      </c>
      <c r="D72" s="73" t="s">
        <v>73</v>
      </c>
      <c r="E72" s="46">
        <v>45.9</v>
      </c>
      <c r="F72" s="46">
        <f t="shared" si="6"/>
        <v>56.457000000000001</v>
      </c>
      <c r="G72" s="46">
        <f t="shared" si="7"/>
        <v>45.9</v>
      </c>
      <c r="H72" s="46">
        <f t="shared" si="8"/>
        <v>56.457000000000001</v>
      </c>
      <c r="I72" s="192"/>
      <c r="J72" s="192"/>
      <c r="K72" s="19"/>
    </row>
    <row r="73" spans="1:11" x14ac:dyDescent="0.25">
      <c r="A73" s="19"/>
      <c r="B73" s="66" t="s">
        <v>89</v>
      </c>
      <c r="C73" s="47">
        <v>1</v>
      </c>
      <c r="D73" s="73" t="s">
        <v>73</v>
      </c>
      <c r="E73" s="46">
        <v>10</v>
      </c>
      <c r="F73" s="46">
        <f t="shared" si="6"/>
        <v>12.3</v>
      </c>
      <c r="G73" s="46">
        <f t="shared" si="7"/>
        <v>10</v>
      </c>
      <c r="H73" s="46">
        <f t="shared" si="8"/>
        <v>12.3</v>
      </c>
      <c r="I73" s="192"/>
      <c r="J73" s="192"/>
      <c r="K73" s="19"/>
    </row>
    <row r="74" spans="1:11" x14ac:dyDescent="0.25">
      <c r="A74" s="19"/>
      <c r="B74" s="66" t="s">
        <v>136</v>
      </c>
      <c r="C74" s="47">
        <v>1</v>
      </c>
      <c r="D74" s="73" t="s">
        <v>73</v>
      </c>
      <c r="E74" s="46">
        <v>10</v>
      </c>
      <c r="F74" s="46">
        <f t="shared" si="6"/>
        <v>12.3</v>
      </c>
      <c r="G74" s="46">
        <f t="shared" si="7"/>
        <v>10</v>
      </c>
      <c r="H74" s="46">
        <f t="shared" si="8"/>
        <v>12.3</v>
      </c>
      <c r="I74" s="192"/>
      <c r="J74" s="192"/>
      <c r="K74" s="19"/>
    </row>
    <row r="75" spans="1:11" x14ac:dyDescent="0.25">
      <c r="A75" s="19"/>
      <c r="B75" s="66" t="s">
        <v>137</v>
      </c>
      <c r="C75" s="47">
        <v>2</v>
      </c>
      <c r="D75" s="73" t="s">
        <v>73</v>
      </c>
      <c r="E75" s="46">
        <v>45</v>
      </c>
      <c r="F75" s="46">
        <f t="shared" si="6"/>
        <v>55.35</v>
      </c>
      <c r="G75" s="46">
        <f t="shared" si="7"/>
        <v>90</v>
      </c>
      <c r="H75" s="46">
        <f t="shared" si="8"/>
        <v>110.7</v>
      </c>
      <c r="I75" s="192"/>
      <c r="J75" s="192"/>
      <c r="K75" s="19"/>
    </row>
    <row r="76" spans="1:11" x14ac:dyDescent="0.25">
      <c r="A76" s="19"/>
      <c r="B76" s="66" t="s">
        <v>138</v>
      </c>
      <c r="C76" s="47">
        <v>1</v>
      </c>
      <c r="D76" s="73" t="s">
        <v>73</v>
      </c>
      <c r="E76" s="46">
        <v>30</v>
      </c>
      <c r="F76" s="46">
        <f t="shared" si="6"/>
        <v>36.9</v>
      </c>
      <c r="G76" s="46">
        <f t="shared" si="7"/>
        <v>30</v>
      </c>
      <c r="H76" s="46">
        <f t="shared" si="8"/>
        <v>36.9</v>
      </c>
      <c r="I76" s="192"/>
      <c r="J76" s="192"/>
      <c r="K76" s="19"/>
    </row>
    <row r="77" spans="1:11" x14ac:dyDescent="0.25">
      <c r="A77" s="19"/>
      <c r="B77" s="63" t="s">
        <v>90</v>
      </c>
      <c r="C77" s="64">
        <v>12</v>
      </c>
      <c r="D77" s="74" t="s">
        <v>73</v>
      </c>
      <c r="E77" s="65">
        <v>1.22</v>
      </c>
      <c r="F77" s="65">
        <f t="shared" si="6"/>
        <v>1.5005999999999999</v>
      </c>
      <c r="G77" s="65">
        <f t="shared" si="7"/>
        <v>14.64</v>
      </c>
      <c r="H77" s="65">
        <f t="shared" si="8"/>
        <v>18.007200000000001</v>
      </c>
      <c r="I77" s="191"/>
      <c r="J77" s="191"/>
      <c r="K77" s="19"/>
    </row>
    <row r="78" spans="1:11" x14ac:dyDescent="0.25">
      <c r="A78" s="19"/>
      <c r="B78" s="99"/>
      <c r="C78" s="99"/>
      <c r="D78" s="99"/>
      <c r="E78" s="100"/>
      <c r="F78" s="100"/>
      <c r="G78" s="100"/>
      <c r="H78" s="100"/>
      <c r="I78" s="101"/>
      <c r="J78" s="101"/>
      <c r="K78" s="19"/>
    </row>
    <row r="79" spans="1:11" ht="15" customHeight="1" x14ac:dyDescent="0.25">
      <c r="A79" s="19"/>
      <c r="B79" s="184" t="s">
        <v>105</v>
      </c>
      <c r="C79" s="185"/>
      <c r="D79" s="185"/>
      <c r="E79" s="185"/>
      <c r="F79" s="185"/>
      <c r="G79" s="185"/>
      <c r="H79" s="185"/>
      <c r="I79" s="151" t="s">
        <v>103</v>
      </c>
      <c r="J79" s="156"/>
      <c r="K79" s="19"/>
    </row>
    <row r="80" spans="1:11" ht="15" customHeight="1" x14ac:dyDescent="0.25">
      <c r="A80" s="19"/>
      <c r="B80" s="187"/>
      <c r="C80" s="188"/>
      <c r="D80" s="188"/>
      <c r="E80" s="188"/>
      <c r="F80" s="188"/>
      <c r="G80" s="188"/>
      <c r="H80" s="188"/>
      <c r="I80" s="196">
        <v>0.12</v>
      </c>
      <c r="J80" s="197"/>
      <c r="K80" s="19"/>
    </row>
    <row r="81" spans="1:11" ht="15" customHeight="1" x14ac:dyDescent="0.25">
      <c r="A81" s="19"/>
      <c r="B81" s="198" t="s">
        <v>106</v>
      </c>
      <c r="C81" s="199"/>
      <c r="D81" s="199"/>
      <c r="E81" s="199"/>
      <c r="F81" s="199"/>
      <c r="G81" s="199"/>
      <c r="H81" s="200"/>
      <c r="I81" s="56" t="s">
        <v>17</v>
      </c>
      <c r="J81" s="25" t="s">
        <v>18</v>
      </c>
      <c r="K81" s="19"/>
    </row>
    <row r="82" spans="1:11" ht="15" customHeight="1" x14ac:dyDescent="0.25">
      <c r="A82" s="19"/>
      <c r="B82" s="201"/>
      <c r="C82" s="202"/>
      <c r="D82" s="202"/>
      <c r="E82" s="202"/>
      <c r="F82" s="202"/>
      <c r="G82" s="202"/>
      <c r="H82" s="203"/>
      <c r="I82" s="11">
        <f>(I40+I55)*1.12</f>
        <v>15422.859200000001</v>
      </c>
      <c r="J82" s="11">
        <f>I82*1.23</f>
        <v>18970.116816000002</v>
      </c>
      <c r="K82" s="19"/>
    </row>
    <row r="83" spans="1:11" ht="21" x14ac:dyDescent="0.25">
      <c r="A83" s="19"/>
      <c r="B83" s="86"/>
      <c r="C83" s="86"/>
      <c r="D83" s="86"/>
      <c r="E83" s="86"/>
      <c r="F83" s="86"/>
      <c r="G83" s="86"/>
      <c r="H83" s="86"/>
      <c r="I83" s="87"/>
      <c r="J83" s="87"/>
      <c r="K83" s="19"/>
    </row>
    <row r="84" spans="1:11" x14ac:dyDescent="0.25">
      <c r="A84" s="19"/>
      <c r="B84" s="193" t="s">
        <v>95</v>
      </c>
      <c r="C84" s="194"/>
      <c r="D84" s="194"/>
      <c r="E84" s="194"/>
      <c r="F84" s="194"/>
      <c r="G84" s="194"/>
      <c r="H84" s="194"/>
      <c r="I84" s="194"/>
      <c r="J84" s="195"/>
      <c r="K84" s="19"/>
    </row>
    <row r="85" spans="1:11" x14ac:dyDescent="0.25">
      <c r="A85" s="19"/>
      <c r="B85" s="59" t="s">
        <v>76</v>
      </c>
      <c r="C85" s="59" t="s">
        <v>69</v>
      </c>
      <c r="D85" s="59" t="s">
        <v>71</v>
      </c>
      <c r="E85" s="59" t="s">
        <v>74</v>
      </c>
      <c r="F85" s="59" t="s">
        <v>79</v>
      </c>
      <c r="G85" s="59" t="s">
        <v>80</v>
      </c>
      <c r="H85" s="59" t="s">
        <v>81</v>
      </c>
      <c r="I85" s="23" t="s">
        <v>17</v>
      </c>
      <c r="J85" s="25" t="s">
        <v>18</v>
      </c>
      <c r="K85" s="19"/>
    </row>
    <row r="86" spans="1:11" x14ac:dyDescent="0.25">
      <c r="A86" s="19"/>
      <c r="B86" s="92" t="s">
        <v>92</v>
      </c>
      <c r="C86" s="92">
        <v>1</v>
      </c>
      <c r="D86" s="92" t="s">
        <v>73</v>
      </c>
      <c r="E86" s="93">
        <v>6000</v>
      </c>
      <c r="F86" s="93">
        <f>E86*1.23</f>
        <v>7380</v>
      </c>
      <c r="G86" s="93">
        <f>E86*C86</f>
        <v>6000</v>
      </c>
      <c r="H86" s="93">
        <f>G86*1.23</f>
        <v>7380</v>
      </c>
      <c r="I86" s="204">
        <f>G86+G87</f>
        <v>6600</v>
      </c>
      <c r="J86" s="204">
        <f>H86+H87</f>
        <v>8118</v>
      </c>
      <c r="K86" s="19"/>
    </row>
    <row r="87" spans="1:11" x14ac:dyDescent="0.25">
      <c r="A87" s="19"/>
      <c r="B87" s="92" t="s">
        <v>93</v>
      </c>
      <c r="C87" s="92">
        <v>1</v>
      </c>
      <c r="D87" s="92" t="s">
        <v>73</v>
      </c>
      <c r="E87" s="93">
        <v>600</v>
      </c>
      <c r="F87" s="93">
        <f>E87*1.23</f>
        <v>738</v>
      </c>
      <c r="G87" s="93">
        <f>E87*C87</f>
        <v>600</v>
      </c>
      <c r="H87" s="93">
        <f>G87*1.23</f>
        <v>738</v>
      </c>
      <c r="I87" s="123"/>
      <c r="J87" s="123"/>
      <c r="K87" s="19"/>
    </row>
    <row r="88" spans="1:11" x14ac:dyDescent="0.25">
      <c r="A88" s="19"/>
      <c r="B88" s="19"/>
      <c r="C88" s="19"/>
      <c r="D88" s="19"/>
      <c r="E88" s="19"/>
      <c r="F88" s="19"/>
      <c r="G88" s="19"/>
      <c r="H88" s="19"/>
      <c r="I88" s="19"/>
      <c r="J88" s="19"/>
      <c r="K88" s="19"/>
    </row>
    <row r="89" spans="1:11" x14ac:dyDescent="0.25">
      <c r="A89" s="19"/>
      <c r="B89" s="184" t="s">
        <v>108</v>
      </c>
      <c r="C89" s="185"/>
      <c r="D89" s="185"/>
      <c r="E89" s="185"/>
      <c r="F89" s="185"/>
      <c r="G89" s="185"/>
      <c r="H89" s="186"/>
      <c r="I89" s="23" t="s">
        <v>17</v>
      </c>
      <c r="J89" s="25" t="s">
        <v>18</v>
      </c>
      <c r="K89" s="19"/>
    </row>
    <row r="90" spans="1:11" x14ac:dyDescent="0.25">
      <c r="A90" s="19"/>
      <c r="B90" s="187"/>
      <c r="C90" s="188"/>
      <c r="D90" s="188"/>
      <c r="E90" s="188"/>
      <c r="F90" s="188"/>
      <c r="G90" s="188"/>
      <c r="H90" s="189"/>
      <c r="I90" s="67">
        <f>G37+I82+I86</f>
        <v>23971.8891</v>
      </c>
      <c r="J90" s="67">
        <f>I90*1.23</f>
        <v>29485.423593</v>
      </c>
      <c r="K90" s="19"/>
    </row>
    <row r="91" spans="1:11" x14ac:dyDescent="0.25">
      <c r="A91" s="19"/>
      <c r="B91" s="19"/>
      <c r="C91" s="19"/>
      <c r="D91" s="19"/>
      <c r="E91" s="19"/>
      <c r="F91" s="19"/>
      <c r="G91" s="19"/>
      <c r="H91" s="19"/>
      <c r="I91" s="19"/>
      <c r="J91" s="19"/>
      <c r="K91" s="19"/>
    </row>
  </sheetData>
  <mergeCells count="51">
    <mergeCell ref="B7:J7"/>
    <mergeCell ref="B2:B4"/>
    <mergeCell ref="C2:D4"/>
    <mergeCell ref="E2:J4"/>
    <mergeCell ref="B5:J5"/>
    <mergeCell ref="B6:J6"/>
    <mergeCell ref="C29:E29"/>
    <mergeCell ref="G29:H29"/>
    <mergeCell ref="I29:J29"/>
    <mergeCell ref="B8:B10"/>
    <mergeCell ref="C8:E10"/>
    <mergeCell ref="G8:J8"/>
    <mergeCell ref="F9:F10"/>
    <mergeCell ref="G9:H9"/>
    <mergeCell ref="I9:J9"/>
    <mergeCell ref="C11:E11"/>
    <mergeCell ref="C12:E12"/>
    <mergeCell ref="C13:E13"/>
    <mergeCell ref="C14:E14"/>
    <mergeCell ref="B15:J15"/>
    <mergeCell ref="B30:B31"/>
    <mergeCell ref="C30:E31"/>
    <mergeCell ref="G30:H30"/>
    <mergeCell ref="I30:J30"/>
    <mergeCell ref="F31:F32"/>
    <mergeCell ref="G31:H32"/>
    <mergeCell ref="I31:J31"/>
    <mergeCell ref="B32:B33"/>
    <mergeCell ref="C32:E33"/>
    <mergeCell ref="G33:H33"/>
    <mergeCell ref="B35:B37"/>
    <mergeCell ref="C35:D35"/>
    <mergeCell ref="E35:F35"/>
    <mergeCell ref="G35:J35"/>
    <mergeCell ref="G36:H36"/>
    <mergeCell ref="I36:J36"/>
    <mergeCell ref="G37:H37"/>
    <mergeCell ref="I37:J37"/>
    <mergeCell ref="B89:H90"/>
    <mergeCell ref="I86:I87"/>
    <mergeCell ref="J86:J87"/>
    <mergeCell ref="B38:J38"/>
    <mergeCell ref="I40:I53"/>
    <mergeCell ref="J40:J53"/>
    <mergeCell ref="I55:I77"/>
    <mergeCell ref="J55:J77"/>
    <mergeCell ref="B84:J84"/>
    <mergeCell ref="B79:H80"/>
    <mergeCell ref="I79:J79"/>
    <mergeCell ref="I80:J80"/>
    <mergeCell ref="B81:H82"/>
  </mergeCells>
  <conditionalFormatting sqref="C17:F27">
    <cfRule type="containsBlanks" dxfId="1" priority="1">
      <formula>LEN(TRIM(C17))=0</formula>
    </cfRule>
  </conditionalFormatting>
  <conditionalFormatting sqref="I30:J30">
    <cfRule type="containsBlanks" dxfId="0" priority="2">
      <formula>LEN(TRIM(I30))=0</formula>
    </cfRule>
  </conditionalFormatting>
  <dataValidations disablePrompts="1" count="2">
    <dataValidation type="list" allowBlank="1" showInputMessage="1" showErrorMessage="1" sqref="F11:F13 F30" xr:uid="{FBF0B587-78F8-456C-9DF8-EED26C79632D}">
      <formula1>"TAK,NIE"</formula1>
    </dataValidation>
    <dataValidation type="list" allowBlank="1" showInputMessage="1" showErrorMessage="1" sqref="C17:C27" xr:uid="{19D9700B-E418-4B36-B6A4-2E157F5B3DF8}">
      <mc:AlternateContent xmlns:x12ac="http://schemas.microsoft.com/office/spreadsheetml/2011/1/ac" xmlns:mc="http://schemas.openxmlformats.org/markup-compatibility/2006">
        <mc:Choice Requires="x12ac">
          <x12ac:list>"1,0","1,5","2,0"</x12ac:list>
        </mc:Choice>
        <mc:Fallback>
          <formula1>"1,0,1,5,2,0"</formula1>
        </mc:Fallback>
      </mc:AlternateContent>
    </dataValidation>
  </dataValidations>
  <pageMargins left="0.70866141732283472" right="0.70866141732283472" top="0.74803149606299213" bottom="0.74803149606299213" header="0.31496062992125984" footer="0.31496062992125984"/>
  <pageSetup paperSize="9" scale="92" fitToHeight="0" orientation="landscape" horizontalDpi="0" verticalDpi="0" r:id="rId1"/>
  <headerFooter>
    <oddFooter>&amp;R&amp;P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4</vt:i4>
      </vt:variant>
    </vt:vector>
  </HeadingPairs>
  <TitlesOfParts>
    <vt:vector size="8" baseType="lpstr">
      <vt:lpstr>KALKULATOR WYCENY USŁUG</vt:lpstr>
      <vt:lpstr>ANALIZA FINANSOWA</vt:lpstr>
      <vt:lpstr>1. Zabudowa - analiza</vt:lpstr>
      <vt:lpstr>2. Kuchnia - analiza</vt:lpstr>
      <vt:lpstr>'1. Zabudowa - analiza'!Tytuły_wydruku</vt:lpstr>
      <vt:lpstr>'2. Kuchnia - analiza'!Tytuły_wydruku</vt:lpstr>
      <vt:lpstr>'ANALIZA FINANSOWA'!Tytuły_wydruku</vt:lpstr>
      <vt:lpstr>'KALKULATOR WYCENY USŁUG'!Tytuły_wydruku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Paweł Kaczmarek</dc:creator>
  <cp:lastModifiedBy>Paweł Kaczmarek</cp:lastModifiedBy>
  <cp:lastPrinted>2025-05-30T07:46:08Z</cp:lastPrinted>
  <dcterms:created xsi:type="dcterms:W3CDTF">2025-03-10T09:15:06Z</dcterms:created>
  <dcterms:modified xsi:type="dcterms:W3CDTF">2025-06-13T09:59:33Z</dcterms:modified>
</cp:coreProperties>
</file>